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Admin\Dropbox\GECF\10XG_Chromium\Hashing &amp; multi-seq\TotalSeq BioLegend hashing\"/>
    </mc:Choice>
  </mc:AlternateContent>
  <xr:revisionPtr revIDLastSave="0" documentId="13_ncr:1_{F21412E2-D385-4F24-8DF6-8C51DD261746}" xr6:coauthVersionLast="47" xr6:coauthVersionMax="47" xr10:uidLastSave="{00000000-0000-0000-0000-000000000000}"/>
  <bookViews>
    <workbookView xWindow="8895" yWindow="885" windowWidth="23745" windowHeight="22260" activeTab="1" xr2:uid="{F9F7BD4E-0851-4DF1-95D5-5B05CB674CD8}"/>
  </bookViews>
  <sheets>
    <sheet name="1.Determine targeted nb" sheetId="3" r:id="rId1"/>
    <sheet name="2.Design pool" sheetId="1" r:id="rId2"/>
    <sheet name="Appendix (for GECF)"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3" l="1"/>
  <c r="I14" i="3"/>
  <c r="I15" i="3" s="1"/>
  <c r="I20" i="3" s="1"/>
  <c r="S8" i="1"/>
  <c r="E39" i="1"/>
  <c r="E40" i="1"/>
  <c r="E41" i="1"/>
  <c r="E42" i="1"/>
  <c r="E43" i="1"/>
  <c r="E44" i="1"/>
  <c r="E45" i="1"/>
  <c r="E46" i="1"/>
  <c r="E47" i="1"/>
  <c r="E48" i="1"/>
  <c r="E49" i="1"/>
  <c r="E38" i="1"/>
  <c r="H30" i="1"/>
  <c r="E9" i="1"/>
  <c r="E10" i="1"/>
  <c r="E11" i="1"/>
  <c r="E12" i="1"/>
  <c r="E13" i="1"/>
  <c r="E14" i="1"/>
  <c r="E15" i="1"/>
  <c r="E16" i="1"/>
  <c r="E17" i="1"/>
  <c r="E18" i="1"/>
  <c r="E19" i="1"/>
  <c r="E8" i="1"/>
  <c r="I31" i="3"/>
  <c r="I29" i="3"/>
  <c r="I19" i="3"/>
  <c r="T8" i="1" l="1"/>
  <c r="U8" i="1" s="1"/>
  <c r="E51" i="1"/>
  <c r="I32" i="3"/>
  <c r="C31" i="3"/>
  <c r="C29" i="3"/>
  <c r="F29" i="3"/>
  <c r="C19" i="3"/>
  <c r="C14" i="3"/>
  <c r="C15" i="3" s="1"/>
  <c r="F19" i="3"/>
  <c r="F14" i="3"/>
  <c r="F15" i="3" s="1"/>
  <c r="J7" i="4"/>
  <c r="E7" i="4"/>
  <c r="D7" i="4"/>
  <c r="J6" i="4"/>
  <c r="E6" i="4"/>
  <c r="D6" i="4"/>
  <c r="J5" i="4"/>
  <c r="E5" i="4"/>
  <c r="D5" i="4"/>
  <c r="J4" i="4"/>
  <c r="E4" i="4"/>
  <c r="D4" i="4"/>
  <c r="E3" i="4"/>
  <c r="D3" i="4"/>
  <c r="I21" i="3" l="1"/>
  <c r="C32" i="3"/>
  <c r="F32" i="3"/>
  <c r="C16" i="3"/>
  <c r="C20" i="3"/>
  <c r="C21" i="3" s="1"/>
  <c r="C22" i="3" s="1"/>
  <c r="C23" i="3" s="1"/>
  <c r="F20" i="3"/>
  <c r="F21" i="3" s="1"/>
  <c r="F22" i="3" s="1"/>
  <c r="F23" i="3" s="1"/>
  <c r="F16" i="3"/>
  <c r="F17" i="3" s="1"/>
  <c r="F18" i="3" s="1"/>
  <c r="I9" i="1"/>
  <c r="I10" i="1"/>
  <c r="I11" i="1"/>
  <c r="I12" i="1"/>
  <c r="I13" i="1"/>
  <c r="I14" i="1"/>
  <c r="I15" i="1"/>
  <c r="I16" i="1"/>
  <c r="I17" i="1"/>
  <c r="I18" i="1"/>
  <c r="I19" i="1"/>
  <c r="I8" i="1"/>
  <c r="H31" i="1"/>
  <c r="I22" i="3" l="1"/>
  <c r="I23" i="3" s="1"/>
  <c r="I24" i="3"/>
  <c r="I16" i="3"/>
  <c r="I17" i="3" s="1"/>
  <c r="I18" i="3" s="1"/>
  <c r="F24" i="3"/>
  <c r="C17" i="3"/>
  <c r="C18" i="3" s="1"/>
  <c r="F33" i="1"/>
  <c r="C24" i="3" l="1"/>
  <c r="E20" i="1"/>
  <c r="D39" i="1" l="1"/>
  <c r="D40" i="1"/>
  <c r="D41" i="1"/>
  <c r="D42" i="1"/>
  <c r="D43" i="1"/>
  <c r="D44" i="1"/>
  <c r="D45" i="1"/>
  <c r="D46" i="1"/>
  <c r="D47" i="1"/>
  <c r="D48" i="1"/>
  <c r="D49" i="1"/>
  <c r="D38" i="1"/>
  <c r="H32" i="1"/>
  <c r="I20" i="1"/>
  <c r="G39" i="1" l="1"/>
  <c r="G40" i="1"/>
  <c r="G41" i="1"/>
  <c r="G42" i="1"/>
  <c r="G43" i="1"/>
  <c r="G44" i="1"/>
  <c r="G45" i="1"/>
  <c r="G46" i="1"/>
  <c r="G47" i="1"/>
  <c r="G49" i="1"/>
  <c r="H33" i="1"/>
  <c r="V9" i="1"/>
  <c r="V10" i="1"/>
  <c r="V11" i="1"/>
  <c r="V12" i="1"/>
  <c r="V13" i="1"/>
  <c r="V14" i="1"/>
  <c r="V15" i="1"/>
  <c r="V16" i="1"/>
  <c r="V17" i="1"/>
  <c r="V18" i="1"/>
  <c r="V19" i="1"/>
  <c r="V8" i="1"/>
  <c r="G48" i="1" l="1"/>
  <c r="G51" i="1"/>
  <c r="G38" i="1"/>
  <c r="S15" i="1"/>
  <c r="T15" i="1" s="1"/>
  <c r="U15" i="1" s="1"/>
  <c r="S19" i="1"/>
  <c r="T19" i="1" s="1"/>
  <c r="U19" i="1" s="1"/>
  <c r="S18" i="1"/>
  <c r="T18" i="1" s="1"/>
  <c r="U18" i="1" s="1"/>
  <c r="S17" i="1"/>
  <c r="T17" i="1" s="1"/>
  <c r="U17" i="1" s="1"/>
  <c r="S16" i="1"/>
  <c r="T16" i="1" s="1"/>
  <c r="U16" i="1" s="1"/>
  <c r="S14" i="1"/>
  <c r="T14" i="1" s="1"/>
  <c r="U14" i="1" s="1"/>
  <c r="S13" i="1"/>
  <c r="T13" i="1" s="1"/>
  <c r="U13" i="1" s="1"/>
  <c r="S12" i="1"/>
  <c r="T12" i="1" s="1"/>
  <c r="U12" i="1" s="1"/>
  <c r="S11" i="1"/>
  <c r="T11" i="1" s="1"/>
  <c r="U11" i="1" s="1"/>
  <c r="S10" i="1"/>
  <c r="T10" i="1" s="1"/>
  <c r="U10" i="1" s="1"/>
  <c r="S9" i="1"/>
  <c r="T9" i="1" s="1"/>
  <c r="U9" i="1" s="1"/>
  <c r="H24" i="1" l="1"/>
  <c r="H25" i="1" s="1"/>
</calcChain>
</file>

<file path=xl/sharedStrings.xml><?xml version="1.0" encoding="utf-8"?>
<sst xmlns="http://schemas.openxmlformats.org/spreadsheetml/2006/main" count="125" uniqueCount="82">
  <si>
    <t>Expected final pool concentration:</t>
  </si>
  <si>
    <t>cells/ul</t>
  </si>
  <si>
    <t>sample name</t>
  </si>
  <si>
    <t>% targeted in the final pool (min 5%)</t>
  </si>
  <si>
    <t>available volume</t>
  </si>
  <si>
    <t>ul to pool</t>
  </si>
  <si>
    <t>total</t>
  </si>
  <si>
    <t>ul</t>
  </si>
  <si>
    <t>Concentration of each sample (cells/ul)</t>
  </si>
  <si>
    <t>Available cells</t>
  </si>
  <si>
    <t>Max achievable nb of cells in the total pool, based on %, conc and available vol of each sample independently</t>
  </si>
  <si>
    <t xml:space="preserve">Max achieveable number of nb of targeted cells for the pool: </t>
  </si>
  <si>
    <t>Do not touch</t>
  </si>
  <si>
    <r>
      <t>warnings</t>
    </r>
    <r>
      <rPr>
        <b/>
        <sz val="9"/>
        <color theme="0" tint="-0.499984740745262"/>
        <rFont val="Calibri"/>
        <family val="2"/>
        <scheme val="minor"/>
      </rPr>
      <t xml:space="preserve"> (too high cells concentration; total not 100%)</t>
    </r>
  </si>
  <si>
    <r>
      <t>warnings</t>
    </r>
    <r>
      <rPr>
        <b/>
        <sz val="9"/>
        <color theme="0" tint="-0.499984740745262"/>
        <rFont val="Calibri"/>
        <family val="2"/>
        <scheme val="minor"/>
      </rPr>
      <t xml:space="preserve"> (aberrant targeted nb; not enough cells in pool compared to targeted nb; not right concentration expected compared to targeted)</t>
    </r>
  </si>
  <si>
    <r>
      <rPr>
        <b/>
        <sz val="11"/>
        <color theme="1"/>
        <rFont val="Calibri"/>
        <family val="2"/>
        <scheme val="minor"/>
      </rPr>
      <t xml:space="preserve">How to use: </t>
    </r>
    <r>
      <rPr>
        <sz val="11"/>
        <color theme="1"/>
        <rFont val="Calibri"/>
        <family val="2"/>
        <scheme val="minor"/>
      </rPr>
      <t xml:space="preserve">Follow the steps below. Only fill in blue cells --&gt;  If no red warnings pops up you should be fine. You can send us the sheet in advance if you have a doubt or questions.
</t>
    </r>
    <r>
      <rPr>
        <sz val="11"/>
        <color rgb="FFFF0000"/>
        <rFont val="Calibri"/>
        <family val="2"/>
        <scheme val="minor"/>
      </rPr>
      <t>DISCLAIMER: THIS CALCULATION SHEET IS INDICATIVE. If warnings appear it might still be possible to proceed in some cases, but contact GECF in advance to discuss.</t>
    </r>
  </si>
  <si>
    <r>
      <t>warnings</t>
    </r>
    <r>
      <rPr>
        <b/>
        <sz val="9"/>
        <color theme="0" tint="-0.499984740745262"/>
        <rFont val="Calibri"/>
        <family val="2"/>
        <scheme val="minor"/>
      </rPr>
      <t xml:space="preserve"> (Warning for not sufficient volume for samples. And for negative buffer volume.)</t>
    </r>
  </si>
  <si>
    <t>--&gt; add Buffer:</t>
  </si>
  <si>
    <t>Version log</t>
  </si>
  <si>
    <t>v1.01: initial release</t>
  </si>
  <si>
    <r>
      <t xml:space="preserve">Max achievable </t>
    </r>
    <r>
      <rPr>
        <b/>
        <i/>
        <sz val="11"/>
        <color theme="0" tint="-0.34998626667073579"/>
        <rFont val="Calibri"/>
        <family val="2"/>
        <scheme val="minor"/>
      </rPr>
      <t>targeted</t>
    </r>
    <r>
      <rPr>
        <i/>
        <sz val="11"/>
        <color theme="0" tint="-0.34998626667073579"/>
        <rFont val="Calibri"/>
        <family val="2"/>
        <scheme val="minor"/>
      </rPr>
      <t xml:space="preserve"> cells </t>
    </r>
    <r>
      <rPr>
        <b/>
        <sz val="11"/>
        <color theme="0" tint="-0.34998626667073579"/>
        <rFont val="Calibri"/>
        <family val="2"/>
        <scheme val="minor"/>
      </rPr>
      <t xml:space="preserve">for the total pool, </t>
    </r>
    <r>
      <rPr>
        <sz val="11"/>
        <color theme="0" tint="-0.34998626667073579"/>
        <rFont val="Calibri"/>
        <family val="2"/>
        <scheme val="minor"/>
      </rPr>
      <t>based on %, conc and available volume of each sample independently (lower value determines what can be used as total pool)</t>
    </r>
  </si>
  <si>
    <t>Total mio reads needed - GEX + tag</t>
  </si>
  <si>
    <t>Reads/cells GEX + tag</t>
  </si>
  <si>
    <t>Total cells to be sequenced</t>
  </si>
  <si>
    <t>Total targeted/sample (all wells), minus multiplets</t>
  </si>
  <si>
    <t>Targeted/sample/well, minus multiplets</t>
  </si>
  <si>
    <t>Targeted/well, minus multiplets</t>
  </si>
  <si>
    <t>Total Multiplets number/well</t>
  </si>
  <si>
    <t>% multiplets</t>
  </si>
  <si>
    <t>8 to 12</t>
  </si>
  <si>
    <t>4 to 8</t>
  </si>
  <si>
    <t>2 to 4</t>
  </si>
  <si>
    <t>double (since multiplet rate is half) -----------&gt;</t>
  </si>
  <si>
    <t>for 3' v4 the suggeted n. tags should be</t>
  </si>
  <si>
    <t>Suggested n. CMO tags</t>
  </si>
  <si>
    <t>Max targeted</t>
  </si>
  <si>
    <t>Min targeted</t>
  </si>
  <si>
    <t>Since this calc is made for multiplets</t>
  </si>
  <si>
    <t>Estrapolated n. CMOs based on targeted recovery for 3' v4</t>
  </si>
  <si>
    <r>
      <t xml:space="preserve">Suggested n. CMOs based on targeted recovery for 3' v3.1
</t>
    </r>
    <r>
      <rPr>
        <sz val="8"/>
        <rFont val="Calibri"/>
        <family val="2"/>
        <scheme val="minor"/>
      </rPr>
      <t>For optimal cell multiplet detection, we recommend using 1 tag for every ~2,500 cells targeted</t>
    </r>
  </si>
  <si>
    <t>Total targeted among all samples (w/o taking multiplets into account)</t>
  </si>
  <si>
    <t>How to calculate it</t>
  </si>
  <si>
    <t>% multiplets detectable</t>
  </si>
  <si>
    <t>N. CMO tags</t>
  </si>
  <si>
    <t>Samples/day</t>
  </si>
  <si>
    <r>
      <t xml:space="preserve">Cellranger multiplet detection (and exclusion)
</t>
    </r>
    <r>
      <rPr>
        <sz val="8"/>
        <rFont val="Calibri"/>
        <family val="2"/>
        <scheme val="minor"/>
      </rPr>
      <t>These table assumes that samples are pooled at equal ratios. Pooling samples at unequal ratios will decrease multiplet detection</t>
    </r>
  </si>
  <si>
    <r>
      <t xml:space="preserve">3' v4
% multiplet
</t>
    </r>
    <r>
      <rPr>
        <sz val="8"/>
        <rFont val="Calibri"/>
        <family val="2"/>
        <scheme val="minor"/>
      </rPr>
      <t>(0.4% every 1000targeted cells)</t>
    </r>
  </si>
  <si>
    <r>
      <t xml:space="preserve">3' v3.1
% multiplet </t>
    </r>
    <r>
      <rPr>
        <sz val="8"/>
        <rFont val="Calibri"/>
        <family val="2"/>
        <scheme val="minor"/>
      </rPr>
      <t>(0.8% every 1000targeted cells)</t>
    </r>
  </si>
  <si>
    <t>Targeted cells</t>
  </si>
  <si>
    <t>Min needed for analysis/sample (w/ multiplets removed)</t>
  </si>
  <si>
    <t>Scenario 1</t>
  </si>
  <si>
    <t>Scenario 2</t>
  </si>
  <si>
    <t>Scenario 3</t>
  </si>
  <si>
    <t>10XG wells nb</t>
  </si>
  <si>
    <t>The 3 scenarios allow you to play with numbers and assess the best scenario.</t>
  </si>
  <si>
    <t>While doing so, keep an eye on the non-detected mutiplet rate row, ideally it should stay under 5-6%. If it is too high, you can drecrease it by splitting your samples over several tags.</t>
  </si>
  <si>
    <t>1st STEP: Calculate with this template the total number of cells you will need to target in order to obtain the desired number of cells/sample</t>
  </si>
  <si>
    <t>% detectable multiplets</t>
  </si>
  <si>
    <t>Detected multiplets number/well</t>
  </si>
  <si>
    <t>Targeted/well, minus detected multiplets</t>
  </si>
  <si>
    <t>Targeted/sample/well, minus detected multiplets</t>
  </si>
  <si>
    <t>Optional/annex: determine total number of reads needed.</t>
  </si>
  <si>
    <t>Only light blue cells can be filled by users.</t>
  </si>
  <si>
    <t>Targeted cells/well (typically 30-50k)</t>
  </si>
  <si>
    <t>targeted cell for each sample</t>
  </si>
  <si>
    <r>
      <t xml:space="preserve">Nb of </t>
    </r>
    <r>
      <rPr>
        <b/>
        <u/>
        <sz val="11"/>
        <color theme="1"/>
        <rFont val="Calibri"/>
        <family val="2"/>
        <scheme val="minor"/>
      </rPr>
      <t>targeted</t>
    </r>
    <r>
      <rPr>
        <sz val="11"/>
        <color theme="1"/>
        <rFont val="Calibri"/>
        <family val="2"/>
        <scheme val="minor"/>
      </rPr>
      <t xml:space="preserve"> cells in total for this pool (max 50k):</t>
    </r>
  </si>
  <si>
    <t>Sample constraining this max value to less than 50k:</t>
  </si>
  <si>
    <t>Number of planned cells in total in the pool you bring:</t>
  </si>
  <si>
    <t>Final planned volume of the pool you bring (ul):</t>
  </si>
  <si>
    <t>Tags (samples) nb</t>
  </si>
  <si>
    <t>The pool should contain all samples (max 16 per pool though due to nb of available totalseq antibodies).</t>
  </si>
  <si>
    <t>One can target maximum 50k cells/well, so in case the number is more than 50k, split it into several well (there will still be only 1 pool but split over several 10XG wells). See the calculations below.</t>
  </si>
  <si>
    <t>Total targeted cells/sample (accross all wells)*</t>
  </si>
  <si>
    <t>non-detectable mutiplet %</t>
  </si>
  <si>
    <t>2ND STEP: Totalseq hashing pooling calculations training sandbox v1.01</t>
  </si>
  <si>
    <r>
      <t xml:space="preserve">A.Start by indicating as well as possible the concentrations and volumes of the individual samples you expect to have. </t>
    </r>
    <r>
      <rPr>
        <b/>
        <u/>
        <sz val="11"/>
        <rFont val="Calibri"/>
        <family val="2"/>
        <scheme val="minor"/>
      </rPr>
      <t>This will need to be edited once you get the real values.</t>
    </r>
    <r>
      <rPr>
        <b/>
        <sz val="11"/>
        <rFont val="Calibri"/>
        <family val="2"/>
        <scheme val="minor"/>
      </rPr>
      <t xml:space="preserve"> Also indicate the % of each sample you want in the final pool.</t>
    </r>
  </si>
  <si>
    <t>B. This field indicates the max total targeted cells number that can be reached based on the values you entered above. It should be 50k cells in most cases apart extreme cases.</t>
  </si>
  <si>
    <t>C. Indicate the total targeted cells nb for the pool, as well as the total number of cells you can put in this pool (the more the better), as well as the planned pool volume .</t>
  </si>
  <si>
    <t>D. The table below indicates how to perform the pool, and the volume of buffer to add (make sure values in first table above are correct before making the actual pool)</t>
  </si>
  <si>
    <t>v1.02: many small changes. Increased to 50k cells. Added tab to determine targeted cell number.</t>
  </si>
  <si>
    <t>Reads/cell
(typical 60'000-80'000)</t>
  </si>
  <si>
    <t>* Note for power users: multiplets detectable by cellranger are subtracted from this number. The % of remaining multiplets in the dataset is indicated in the field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</si>
</sst>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1"/>
      <color theme="1"/>
      <name val="Calibri"/>
      <family val="2"/>
      <scheme val="minor"/>
    </font>
    <font>
      <sz val="11"/>
      <color rgb="FFFF0000"/>
      <name val="Calibri"/>
      <family val="2"/>
      <scheme val="minor"/>
    </font>
    <font>
      <i/>
      <sz val="11"/>
      <color theme="1"/>
      <name val="Calibri"/>
      <family val="2"/>
      <scheme val="minor"/>
    </font>
    <font>
      <i/>
      <sz val="11"/>
      <color theme="1" tint="0.249977111117893"/>
      <name val="Calibri"/>
      <family val="2"/>
      <scheme val="minor"/>
    </font>
    <font>
      <b/>
      <sz val="11"/>
      <color theme="1"/>
      <name val="Calibri"/>
      <family val="2"/>
      <scheme val="minor"/>
    </font>
    <font>
      <b/>
      <u/>
      <sz val="11"/>
      <color theme="1"/>
      <name val="Calibri"/>
      <family val="2"/>
      <scheme val="minor"/>
    </font>
    <font>
      <i/>
      <sz val="11"/>
      <color theme="0" tint="-0.499984740745262"/>
      <name val="Calibri"/>
      <family val="2"/>
      <scheme val="minor"/>
    </font>
    <font>
      <i/>
      <sz val="11"/>
      <color theme="1" tint="0.34998626667073579"/>
      <name val="Calibri"/>
      <family val="2"/>
      <scheme val="minor"/>
    </font>
    <font>
      <b/>
      <i/>
      <sz val="11"/>
      <color theme="1" tint="0.249977111117893"/>
      <name val="Calibri"/>
      <family val="2"/>
      <scheme val="minor"/>
    </font>
    <font>
      <sz val="11"/>
      <color theme="0" tint="-0.34998626667073579"/>
      <name val="Calibri"/>
      <family val="2"/>
      <scheme val="minor"/>
    </font>
    <font>
      <sz val="11"/>
      <name val="Calibri"/>
      <family val="2"/>
      <scheme val="minor"/>
    </font>
    <font>
      <i/>
      <sz val="11"/>
      <color theme="0" tint="-0.34998626667073579"/>
      <name val="Calibri"/>
      <family val="2"/>
      <scheme val="minor"/>
    </font>
    <font>
      <b/>
      <sz val="11"/>
      <color theme="0" tint="-0.34998626667073579"/>
      <name val="Calibri"/>
      <family val="2"/>
      <scheme val="minor"/>
    </font>
    <font>
      <b/>
      <sz val="9"/>
      <color theme="0" tint="-0.499984740745262"/>
      <name val="Calibri"/>
      <family val="2"/>
      <scheme val="minor"/>
    </font>
    <font>
      <b/>
      <sz val="11"/>
      <name val="Calibri"/>
      <family val="2"/>
      <scheme val="minor"/>
    </font>
    <font>
      <b/>
      <u/>
      <sz val="11"/>
      <name val="Calibri"/>
      <family val="2"/>
      <scheme val="minor"/>
    </font>
    <font>
      <b/>
      <i/>
      <sz val="11"/>
      <color theme="0" tint="-0.34998626667073579"/>
      <name val="Calibri"/>
      <family val="2"/>
      <scheme val="minor"/>
    </font>
    <font>
      <b/>
      <sz val="11"/>
      <color theme="0"/>
      <name val="Calibri"/>
      <family val="2"/>
      <scheme val="minor"/>
    </font>
    <font>
      <sz val="11"/>
      <color theme="0"/>
      <name val="Calibri"/>
      <family val="2"/>
      <scheme val="minor"/>
    </font>
    <font>
      <sz val="8"/>
      <name val="Calibri"/>
      <family val="2"/>
      <scheme val="minor"/>
    </font>
    <font>
      <b/>
      <sz val="12"/>
      <name val="Calibri"/>
      <family val="2"/>
      <scheme val="minor"/>
    </font>
    <font>
      <b/>
      <i/>
      <sz val="11"/>
      <color theme="0" tint="-0.499984740745262"/>
      <name val="Calibri"/>
      <family val="2"/>
      <scheme val="minor"/>
    </font>
    <font>
      <sz val="11"/>
      <color theme="0" tint="-0.499984740745262"/>
      <name val="Calibri"/>
      <family val="2"/>
      <scheme val="minor"/>
    </font>
    <font>
      <b/>
      <sz val="11"/>
      <color theme="0" tint="-0.499984740745262"/>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66FF"/>
        <bgColor indexed="64"/>
      </patternFill>
    </fill>
    <fill>
      <patternFill patternType="solid">
        <fgColor theme="7" tint="0.79998168889431442"/>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7" tint="0.59999389629810485"/>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right/>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ck">
        <color indexed="64"/>
      </bottom>
      <diagonal/>
    </border>
    <border>
      <left/>
      <right style="thin">
        <color indexed="64"/>
      </right>
      <top/>
      <bottom style="thick">
        <color indexed="64"/>
      </bottom>
      <diagonal/>
    </border>
  </borders>
  <cellStyleXfs count="1">
    <xf numFmtId="0" fontId="0" fillId="0" borderId="0"/>
  </cellStyleXfs>
  <cellXfs count="148">
    <xf numFmtId="0" fontId="0" fillId="0" borderId="0" xfId="0"/>
    <xf numFmtId="0" fontId="0" fillId="0" borderId="0" xfId="0" applyAlignment="1">
      <alignment wrapText="1"/>
    </xf>
    <xf numFmtId="0" fontId="7" fillId="0" borderId="0" xfId="0" applyFont="1"/>
    <xf numFmtId="2" fontId="0" fillId="0" borderId="0" xfId="0" applyNumberFormat="1" applyAlignment="1">
      <alignment horizontal="left"/>
    </xf>
    <xf numFmtId="1" fontId="3" fillId="0" borderId="0" xfId="0" applyNumberFormat="1" applyFont="1" applyAlignment="1">
      <alignment horizontal="right"/>
    </xf>
    <xf numFmtId="0" fontId="6" fillId="0" borderId="0" xfId="0" applyFont="1"/>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8" fillId="0" borderId="9" xfId="0" applyFont="1" applyBorder="1" applyAlignment="1">
      <alignment horizontal="center" vertical="center" wrapText="1"/>
    </xf>
    <xf numFmtId="0" fontId="2" fillId="0" borderId="0" xfId="0" applyFont="1"/>
    <xf numFmtId="2" fontId="3" fillId="0" borderId="3" xfId="0" applyNumberFormat="1" applyFont="1" applyBorder="1"/>
    <xf numFmtId="0" fontId="0" fillId="0" borderId="3" xfId="0" applyBorder="1" applyAlignment="1">
      <alignment horizontal="center" vertical="center"/>
    </xf>
    <xf numFmtId="0" fontId="0" fillId="0" borderId="0" xfId="0" quotePrefix="1" applyAlignment="1">
      <alignment horizontal="left" vertical="center" wrapText="1"/>
    </xf>
    <xf numFmtId="0" fontId="4" fillId="0" borderId="0" xfId="0" applyFont="1" applyAlignment="1">
      <alignment wrapText="1"/>
    </xf>
    <xf numFmtId="0" fontId="1" fillId="0" borderId="0" xfId="0" applyFont="1"/>
    <xf numFmtId="0" fontId="1" fillId="0" borderId="0" xfId="0" quotePrefix="1" applyFont="1"/>
    <xf numFmtId="3" fontId="0" fillId="0" borderId="12" xfId="0" applyNumberFormat="1" applyBorder="1"/>
    <xf numFmtId="0" fontId="9" fillId="0" borderId="0" xfId="0" applyFont="1" applyAlignment="1">
      <alignment horizontal="left" wrapText="1"/>
    </xf>
    <xf numFmtId="0" fontId="9" fillId="0" borderId="13" xfId="0" applyFont="1" applyBorder="1" applyAlignment="1">
      <alignment wrapText="1"/>
    </xf>
    <xf numFmtId="0" fontId="9" fillId="0" borderId="0" xfId="0" applyFont="1" applyAlignment="1">
      <alignment wrapText="1"/>
    </xf>
    <xf numFmtId="0" fontId="11" fillId="0" borderId="10" xfId="0" applyFont="1" applyBorder="1" applyAlignment="1">
      <alignment wrapText="1"/>
    </xf>
    <xf numFmtId="0" fontId="11" fillId="0" borderId="11" xfId="0" applyFont="1" applyBorder="1" applyAlignment="1">
      <alignment wrapText="1"/>
    </xf>
    <xf numFmtId="0" fontId="11" fillId="0" borderId="12" xfId="0" applyFont="1" applyBorder="1" applyAlignment="1">
      <alignment wrapText="1"/>
    </xf>
    <xf numFmtId="3" fontId="11" fillId="0" borderId="13" xfId="0" applyNumberFormat="1" applyFont="1" applyBorder="1"/>
    <xf numFmtId="3" fontId="11" fillId="0" borderId="0" xfId="0" applyNumberFormat="1" applyFont="1"/>
    <xf numFmtId="3" fontId="11" fillId="0" borderId="14" xfId="0" applyNumberFormat="1" applyFont="1" applyBorder="1"/>
    <xf numFmtId="3" fontId="11" fillId="0" borderId="15" xfId="0" applyNumberFormat="1" applyFont="1" applyBorder="1"/>
    <xf numFmtId="3" fontId="11" fillId="0" borderId="16" xfId="0" applyNumberFormat="1" applyFont="1" applyBorder="1"/>
    <xf numFmtId="3" fontId="11" fillId="0" borderId="17" xfId="0" applyNumberFormat="1" applyFont="1" applyBorder="1"/>
    <xf numFmtId="0" fontId="10" fillId="0" borderId="0" xfId="0" applyFont="1" applyAlignment="1">
      <alignment vertical="center" wrapText="1"/>
    </xf>
    <xf numFmtId="0" fontId="10" fillId="0" borderId="0" xfId="0" applyFont="1" applyAlignment="1">
      <alignment horizontal="left" vertical="center" wrapText="1"/>
    </xf>
    <xf numFmtId="0" fontId="0" fillId="0" borderId="0" xfId="0" quotePrefix="1" applyAlignment="1">
      <alignment wrapText="1"/>
    </xf>
    <xf numFmtId="0" fontId="0" fillId="0" borderId="19" xfId="0" applyBorder="1"/>
    <xf numFmtId="0" fontId="0" fillId="0" borderId="17" xfId="0" applyBorder="1" applyAlignment="1">
      <alignment horizontal="center" vertical="center"/>
    </xf>
    <xf numFmtId="2" fontId="0" fillId="6" borderId="0" xfId="0" applyNumberFormat="1" applyFill="1" applyAlignment="1">
      <alignment horizontal="right"/>
    </xf>
    <xf numFmtId="0" fontId="0" fillId="5" borderId="3" xfId="0" applyFill="1" applyBorder="1" applyAlignment="1" applyProtection="1">
      <alignment horizontal="center" vertical="center"/>
      <protection locked="0"/>
    </xf>
    <xf numFmtId="0" fontId="0" fillId="5" borderId="3" xfId="0" applyFill="1" applyBorder="1" applyProtection="1">
      <protection locked="0"/>
    </xf>
    <xf numFmtId="0" fontId="0" fillId="5" borderId="18" xfId="0" applyFill="1" applyBorder="1" applyAlignment="1" applyProtection="1">
      <alignment horizontal="center" vertical="center"/>
      <protection locked="0"/>
    </xf>
    <xf numFmtId="0" fontId="0" fillId="5" borderId="18" xfId="0" applyFill="1" applyBorder="1" applyProtection="1">
      <protection locked="0"/>
    </xf>
    <xf numFmtId="3" fontId="0" fillId="2" borderId="1" xfId="0" applyNumberFormat="1" applyFill="1" applyBorder="1" applyProtection="1">
      <protection locked="0"/>
    </xf>
    <xf numFmtId="0" fontId="0" fillId="2" borderId="1" xfId="0" applyFill="1" applyBorder="1" applyProtection="1">
      <protection locked="0"/>
    </xf>
    <xf numFmtId="0" fontId="0" fillId="0" borderId="0" xfId="0" applyAlignment="1">
      <alignment horizontal="center" vertical="center"/>
    </xf>
    <xf numFmtId="3" fontId="0" fillId="0" borderId="0" xfId="0" applyNumberFormat="1"/>
    <xf numFmtId="0" fontId="0" fillId="0" borderId="3" xfId="0" applyBorder="1"/>
    <xf numFmtId="0" fontId="17" fillId="0" borderId="0" xfId="0" applyFont="1" applyAlignment="1">
      <alignment wrapText="1"/>
    </xf>
    <xf numFmtId="3" fontId="10" fillId="0" borderId="14" xfId="0" applyNumberFormat="1" applyFont="1" applyBorder="1"/>
    <xf numFmtId="3" fontId="10" fillId="0" borderId="12" xfId="0" applyNumberFormat="1" applyFont="1" applyBorder="1"/>
    <xf numFmtId="3" fontId="10" fillId="0" borderId="0" xfId="0" applyNumberFormat="1" applyFont="1"/>
    <xf numFmtId="0" fontId="10" fillId="0" borderId="0" xfId="0" applyFont="1"/>
    <xf numFmtId="0" fontId="9" fillId="9" borderId="3" xfId="0" applyFont="1" applyFill="1" applyBorder="1"/>
    <xf numFmtId="3" fontId="9" fillId="9" borderId="3" xfId="0" applyNumberFormat="1" applyFont="1" applyFill="1" applyBorder="1"/>
    <xf numFmtId="0" fontId="10" fillId="0" borderId="3" xfId="0" applyFont="1" applyBorder="1"/>
    <xf numFmtId="3" fontId="10" fillId="0" borderId="3" xfId="0" applyNumberFormat="1" applyFont="1" applyBorder="1"/>
    <xf numFmtId="0" fontId="10" fillId="10" borderId="3" xfId="0" applyFont="1" applyFill="1" applyBorder="1" applyAlignment="1">
      <alignment horizontal="right"/>
    </xf>
    <xf numFmtId="3" fontId="10" fillId="10" borderId="3" xfId="0" applyNumberFormat="1" applyFont="1" applyFill="1" applyBorder="1"/>
    <xf numFmtId="0" fontId="10" fillId="0" borderId="3" xfId="0" applyFont="1" applyBorder="1" applyAlignment="1">
      <alignment horizontal="right"/>
    </xf>
    <xf numFmtId="16" fontId="10" fillId="0" borderId="3" xfId="0" applyNumberFormat="1" applyFont="1" applyBorder="1" applyAlignment="1">
      <alignment horizontal="right"/>
    </xf>
    <xf numFmtId="0" fontId="10" fillId="0" borderId="0" xfId="0" applyFont="1" applyAlignment="1">
      <alignment wrapText="1"/>
    </xf>
    <xf numFmtId="0" fontId="14" fillId="0" borderId="3" xfId="0" applyFont="1" applyBorder="1" applyAlignment="1">
      <alignment horizontal="center" vertical="center" wrapText="1"/>
    </xf>
    <xf numFmtId="165" fontId="10" fillId="0" borderId="0" xfId="0" applyNumberFormat="1" applyFont="1"/>
    <xf numFmtId="0" fontId="14" fillId="0" borderId="0" xfId="0" applyFont="1"/>
    <xf numFmtId="0" fontId="14" fillId="0" borderId="3" xfId="0" applyFont="1" applyBorder="1"/>
    <xf numFmtId="3" fontId="0" fillId="0" borderId="3" xfId="0" applyNumberFormat="1" applyBorder="1"/>
    <xf numFmtId="0" fontId="4" fillId="0" borderId="0" xfId="0" applyFont="1" applyAlignment="1">
      <alignment vertical="center"/>
    </xf>
    <xf numFmtId="0" fontId="10" fillId="0" borderId="0" xfId="0" applyFont="1" applyAlignment="1">
      <alignment vertical="center"/>
    </xf>
    <xf numFmtId="0" fontId="14" fillId="0" borderId="3" xfId="0" applyFont="1" applyBorder="1" applyAlignment="1">
      <alignment vertical="center" wrapText="1"/>
    </xf>
    <xf numFmtId="3" fontId="6" fillId="0" borderId="12" xfId="0" applyNumberFormat="1" applyFont="1" applyBorder="1"/>
    <xf numFmtId="0" fontId="22" fillId="0" borderId="0" xfId="0" applyFont="1"/>
    <xf numFmtId="0" fontId="23" fillId="0" borderId="0" xfId="0" applyFont="1" applyAlignment="1">
      <alignment wrapText="1"/>
    </xf>
    <xf numFmtId="3" fontId="6" fillId="0" borderId="14" xfId="0" applyNumberFormat="1" applyFont="1" applyBorder="1"/>
    <xf numFmtId="3" fontId="6" fillId="0" borderId="17" xfId="0" applyNumberFormat="1" applyFont="1" applyBorder="1"/>
    <xf numFmtId="0" fontId="14" fillId="0" borderId="0" xfId="0" applyFont="1" applyAlignment="1">
      <alignment horizontal="left" wrapText="1"/>
    </xf>
    <xf numFmtId="3" fontId="14" fillId="11" borderId="22" xfId="0" applyNumberFormat="1" applyFont="1" applyFill="1" applyBorder="1"/>
    <xf numFmtId="3" fontId="0" fillId="0" borderId="14" xfId="0" applyNumberFormat="1" applyBorder="1"/>
    <xf numFmtId="3" fontId="0" fillId="0" borderId="17" xfId="0" applyNumberFormat="1" applyBorder="1"/>
    <xf numFmtId="0" fontId="4" fillId="0" borderId="0" xfId="0" applyFont="1" applyAlignment="1">
      <alignment horizontal="left" wrapText="1"/>
    </xf>
    <xf numFmtId="0" fontId="14" fillId="0" borderId="21" xfId="0" applyFont="1" applyBorder="1" applyAlignment="1">
      <alignment wrapText="1"/>
    </xf>
    <xf numFmtId="164" fontId="10" fillId="7" borderId="9" xfId="0" applyNumberFormat="1" applyFont="1" applyFill="1" applyBorder="1"/>
    <xf numFmtId="0" fontId="14" fillId="5" borderId="0" xfId="0" applyFont="1" applyFill="1" applyAlignment="1">
      <alignment horizontal="left"/>
    </xf>
    <xf numFmtId="0" fontId="14" fillId="5" borderId="0" xfId="0" applyFont="1" applyFill="1" applyAlignment="1">
      <alignment horizontal="left" wrapText="1"/>
    </xf>
    <xf numFmtId="0" fontId="14" fillId="0" borderId="0" xfId="0" applyFont="1" applyAlignment="1">
      <alignment horizontal="left" wrapText="1"/>
    </xf>
    <xf numFmtId="0" fontId="20" fillId="4" borderId="0" xfId="0" applyFont="1" applyFill="1" applyAlignment="1">
      <alignment horizontal="left" wrapText="1"/>
    </xf>
    <xf numFmtId="0" fontId="4" fillId="4" borderId="13" xfId="0" applyFont="1" applyFill="1" applyBorder="1" applyAlignment="1">
      <alignment horizontal="left" wrapText="1"/>
    </xf>
    <xf numFmtId="0" fontId="1" fillId="3" borderId="7" xfId="0" applyFont="1" applyFill="1" applyBorder="1" applyAlignment="1">
      <alignment horizontal="left"/>
    </xf>
    <xf numFmtId="0" fontId="1" fillId="3" borderId="8" xfId="0" applyFont="1" applyFill="1" applyBorder="1" applyAlignment="1">
      <alignment horizontal="left"/>
    </xf>
    <xf numFmtId="0" fontId="1" fillId="3" borderId="9" xfId="0" applyFont="1" applyFill="1" applyBorder="1" applyAlignment="1">
      <alignment horizontal="left"/>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1" fillId="3" borderId="10" xfId="0" quotePrefix="1" applyFont="1" applyFill="1" applyBorder="1" applyAlignment="1">
      <alignment horizontal="left"/>
    </xf>
    <xf numFmtId="0" fontId="1" fillId="3" borderId="11" xfId="0" quotePrefix="1" applyFont="1" applyFill="1" applyBorder="1" applyAlignment="1">
      <alignment horizontal="left"/>
    </xf>
    <xf numFmtId="0" fontId="1" fillId="3" borderId="12" xfId="0" quotePrefix="1" applyFont="1" applyFill="1" applyBorder="1" applyAlignment="1">
      <alignment horizontal="left"/>
    </xf>
    <xf numFmtId="0" fontId="1" fillId="3" borderId="13" xfId="0" quotePrefix="1" applyFont="1" applyFill="1" applyBorder="1" applyAlignment="1">
      <alignment horizontal="left"/>
    </xf>
    <xf numFmtId="0" fontId="1" fillId="3" borderId="0" xfId="0" quotePrefix="1" applyFont="1" applyFill="1" applyAlignment="1">
      <alignment horizontal="left"/>
    </xf>
    <xf numFmtId="0" fontId="1" fillId="3" borderId="14" xfId="0" quotePrefix="1" applyFont="1" applyFill="1" applyBorder="1" applyAlignment="1">
      <alignment horizontal="left"/>
    </xf>
    <xf numFmtId="0" fontId="1" fillId="3" borderId="15" xfId="0" quotePrefix="1" applyFont="1" applyFill="1" applyBorder="1" applyAlignment="1">
      <alignment horizontal="left"/>
    </xf>
    <xf numFmtId="0" fontId="1" fillId="3" borderId="16" xfId="0" quotePrefix="1" applyFont="1" applyFill="1" applyBorder="1" applyAlignment="1">
      <alignment horizontal="left"/>
    </xf>
    <xf numFmtId="0" fontId="1" fillId="3" borderId="17" xfId="0" quotePrefix="1" applyFont="1" applyFill="1" applyBorder="1" applyAlignment="1">
      <alignment horizontal="left"/>
    </xf>
    <xf numFmtId="0" fontId="4" fillId="4" borderId="0" xfId="0" applyFont="1" applyFill="1" applyAlignment="1">
      <alignment horizontal="left"/>
    </xf>
    <xf numFmtId="0" fontId="1" fillId="3" borderId="23" xfId="0" quotePrefix="1" applyFont="1" applyFill="1" applyBorder="1" applyAlignment="1">
      <alignment horizontal="left"/>
    </xf>
    <xf numFmtId="0" fontId="1" fillId="3" borderId="19" xfId="0" quotePrefix="1" applyFont="1" applyFill="1" applyBorder="1" applyAlignment="1">
      <alignment horizontal="left"/>
    </xf>
    <xf numFmtId="0" fontId="1" fillId="3" borderId="24" xfId="0" quotePrefix="1" applyFont="1" applyFill="1" applyBorder="1" applyAlignment="1">
      <alignment horizontal="left"/>
    </xf>
    <xf numFmtId="0" fontId="14" fillId="4" borderId="0" xfId="0" applyFont="1" applyFill="1" applyAlignment="1">
      <alignment horizontal="left" vertical="center" wrapText="1"/>
    </xf>
    <xf numFmtId="0" fontId="0" fillId="0" borderId="21" xfId="0" quotePrefix="1" applyBorder="1" applyAlignment="1">
      <alignment horizontal="left" vertical="center" wrapText="1"/>
    </xf>
    <xf numFmtId="0" fontId="0" fillId="0" borderId="20" xfId="0" quotePrefix="1" applyBorder="1" applyAlignment="1">
      <alignment horizontal="left" vertical="center" wrapText="1"/>
    </xf>
    <xf numFmtId="0" fontId="0" fillId="0" borderId="22" xfId="0" quotePrefix="1" applyBorder="1" applyAlignment="1">
      <alignment horizontal="left" vertical="center" wrapText="1"/>
    </xf>
    <xf numFmtId="0" fontId="11" fillId="0" borderId="7"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4" fillId="0" borderId="4" xfId="0" applyFont="1" applyBorder="1" applyAlignment="1">
      <alignment horizontal="left" wrapText="1"/>
    </xf>
    <xf numFmtId="0" fontId="1" fillId="3" borderId="6" xfId="0" quotePrefix="1" applyFont="1" applyFill="1" applyBorder="1" applyAlignment="1">
      <alignment horizontal="left"/>
    </xf>
    <xf numFmtId="0" fontId="0" fillId="0" borderId="0" xfId="0" applyAlignment="1">
      <alignment horizontal="right"/>
    </xf>
    <xf numFmtId="0" fontId="0" fillId="0" borderId="2" xfId="0" applyBorder="1" applyAlignment="1">
      <alignment horizontal="right"/>
    </xf>
    <xf numFmtId="0" fontId="4" fillId="0" borderId="3" xfId="0" applyFont="1" applyBorder="1" applyAlignment="1">
      <alignment horizontal="left" wrapText="1"/>
    </xf>
    <xf numFmtId="0" fontId="1" fillId="3" borderId="4"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14" fillId="0" borderId="3" xfId="0" applyFont="1" applyBorder="1" applyAlignment="1">
      <alignment horizontal="center" wrapText="1"/>
    </xf>
    <xf numFmtId="0" fontId="14" fillId="0" borderId="3" xfId="0" applyFont="1" applyBorder="1" applyAlignment="1">
      <alignment horizontal="center" vertical="center" wrapText="1"/>
    </xf>
    <xf numFmtId="165" fontId="2" fillId="3" borderId="3" xfId="0" applyNumberFormat="1" applyFont="1" applyFill="1" applyBorder="1" applyProtection="1"/>
    <xf numFmtId="165" fontId="2" fillId="3" borderId="18" xfId="0" applyNumberFormat="1" applyFont="1" applyFill="1" applyBorder="1" applyProtection="1"/>
    <xf numFmtId="0" fontId="0" fillId="0" borderId="10" xfId="0" applyBorder="1" applyAlignment="1">
      <alignment horizontal="left"/>
    </xf>
    <xf numFmtId="0" fontId="0" fillId="0" borderId="11"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3" fontId="0" fillId="0" borderId="12" xfId="0" applyNumberFormat="1" applyBorder="1" applyAlignment="1">
      <alignment horizontal="center" vertical="center"/>
    </xf>
    <xf numFmtId="0" fontId="0" fillId="0" borderId="0" xfId="0" applyFill="1" applyAlignment="1">
      <alignment horizontal="left" vertical="center"/>
    </xf>
    <xf numFmtId="0" fontId="21" fillId="0" borderId="10" xfId="0" applyFont="1" applyBorder="1" applyAlignment="1">
      <alignment wrapText="1"/>
    </xf>
    <xf numFmtId="0" fontId="21" fillId="0" borderId="13" xfId="0" applyFont="1" applyBorder="1" applyAlignment="1">
      <alignment wrapText="1"/>
    </xf>
    <xf numFmtId="0" fontId="21" fillId="0" borderId="15" xfId="0" applyFont="1" applyBorder="1" applyAlignment="1">
      <alignment wrapText="1"/>
    </xf>
    <xf numFmtId="0" fontId="14" fillId="0" borderId="10" xfId="0" applyFont="1" applyBorder="1" applyAlignment="1">
      <alignment wrapText="1"/>
    </xf>
    <xf numFmtId="0" fontId="14" fillId="0" borderId="13" xfId="0" applyFont="1" applyBorder="1" applyAlignment="1">
      <alignment wrapText="1"/>
    </xf>
    <xf numFmtId="0" fontId="4" fillId="0" borderId="10" xfId="0" applyFont="1" applyBorder="1" applyAlignment="1">
      <alignment wrapText="1"/>
    </xf>
    <xf numFmtId="0" fontId="4" fillId="0" borderId="13" xfId="0" applyFont="1" applyBorder="1" applyAlignment="1">
      <alignment wrapText="1"/>
    </xf>
    <xf numFmtId="0" fontId="4" fillId="0" borderId="15" xfId="0" applyFont="1" applyBorder="1" applyAlignment="1">
      <alignment wrapText="1"/>
    </xf>
    <xf numFmtId="0" fontId="17" fillId="8" borderId="10" xfId="0" applyFont="1" applyFill="1" applyBorder="1" applyAlignment="1">
      <alignment wrapText="1"/>
    </xf>
    <xf numFmtId="3" fontId="18" fillId="8" borderId="12" xfId="0" applyNumberFormat="1" applyFont="1" applyFill="1" applyBorder="1"/>
    <xf numFmtId="164" fontId="10" fillId="7" borderId="17" xfId="0" applyNumberFormat="1" applyFont="1" applyFill="1" applyBorder="1"/>
    <xf numFmtId="0" fontId="4" fillId="4" borderId="0" xfId="0" applyFont="1" applyFill="1" applyBorder="1" applyAlignment="1">
      <alignment horizontal="left" wrapText="1"/>
    </xf>
    <xf numFmtId="0" fontId="14" fillId="0" borderId="0" xfId="0" applyFont="1" applyFill="1" applyAlignment="1">
      <alignment horizontal="left" wrapText="1"/>
    </xf>
    <xf numFmtId="0" fontId="14" fillId="0" borderId="0" xfId="0" applyFont="1" applyFill="1" applyAlignment="1">
      <alignment horizontal="left" wrapText="1"/>
    </xf>
    <xf numFmtId="0" fontId="14" fillId="0" borderId="0" xfId="0" applyFont="1" applyFill="1" applyAlignment="1">
      <alignment horizontal="left"/>
    </xf>
    <xf numFmtId="3" fontId="10" fillId="5" borderId="14" xfId="0" applyNumberFormat="1" applyFont="1" applyFill="1" applyBorder="1" applyProtection="1">
      <protection locked="0"/>
    </xf>
    <xf numFmtId="3" fontId="0" fillId="5" borderId="14" xfId="0" applyNumberFormat="1" applyFill="1" applyBorder="1" applyProtection="1">
      <protection locked="0"/>
    </xf>
    <xf numFmtId="0" fontId="0" fillId="0" borderId="0" xfId="0" applyFont="1" applyFill="1" applyBorder="1" applyAlignment="1"/>
    <xf numFmtId="0" fontId="0" fillId="0" borderId="0" xfId="0" applyFont="1"/>
    <xf numFmtId="3" fontId="17" fillId="8" borderId="12" xfId="0" applyNumberFormat="1" applyFont="1" applyFill="1" applyBorder="1"/>
  </cellXfs>
  <cellStyles count="1">
    <cellStyle name="Normal" xfId="0" builtinId="0"/>
  </cellStyles>
  <dxfs count="11">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8" tint="0.79998168889431442"/>
        </patternFill>
      </fill>
    </dxf>
  </dxfs>
  <tableStyles count="0" defaultTableStyle="TableStyleMedium2" defaultPivotStyle="PivotStyleLight16"/>
  <colors>
    <mruColors>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15AA-094E-40B9-9135-4A8ECB772A65}">
  <sheetPr>
    <tabColor rgb="FFFF66FF"/>
  </sheetPr>
  <dimension ref="A1:P37"/>
  <sheetViews>
    <sheetView zoomScale="85" zoomScaleNormal="85" workbookViewId="0">
      <selection activeCell="I55" sqref="I55"/>
    </sheetView>
  </sheetViews>
  <sheetFormatPr defaultRowHeight="15" x14ac:dyDescent="0.25"/>
  <cols>
    <col min="1" max="1" width="3.140625" customWidth="1"/>
    <col min="2" max="2" width="26.42578125" style="14" bestFit="1" customWidth="1"/>
    <col min="3" max="3" width="32.42578125" style="43" customWidth="1"/>
    <col min="4" max="4" width="18" customWidth="1"/>
    <col min="5" max="5" width="24.140625" customWidth="1"/>
    <col min="6" max="6" width="29" customWidth="1"/>
    <col min="7" max="7" width="20.42578125" customWidth="1"/>
    <col min="8" max="8" width="24" customWidth="1"/>
    <col min="9" max="9" width="26.28515625" customWidth="1"/>
    <col min="10" max="10" width="14.28515625" customWidth="1"/>
    <col min="11" max="11" width="11.5703125" customWidth="1"/>
    <col min="12" max="12" width="22.85546875" bestFit="1" customWidth="1"/>
    <col min="13" max="14" width="12.85546875" customWidth="1"/>
    <col min="15" max="15" width="21.140625" bestFit="1" customWidth="1"/>
    <col min="16" max="16" width="32" bestFit="1" customWidth="1"/>
  </cols>
  <sheetData>
    <row r="1" spans="1:16" ht="10.5" customHeight="1" x14ac:dyDescent="0.25">
      <c r="C1" s="48"/>
      <c r="L1" s="49"/>
      <c r="M1" s="49"/>
      <c r="N1" s="49"/>
      <c r="O1" s="49"/>
      <c r="P1" s="49"/>
    </row>
    <row r="2" spans="1:16" ht="15.75" customHeight="1" x14ac:dyDescent="0.25">
      <c r="A2" s="82" t="s">
        <v>56</v>
      </c>
      <c r="B2" s="82"/>
      <c r="C2" s="82"/>
      <c r="D2" s="82"/>
      <c r="E2" s="82"/>
      <c r="F2" s="82"/>
      <c r="G2" s="82"/>
      <c r="H2" s="82"/>
      <c r="I2" s="82"/>
      <c r="J2" s="82"/>
      <c r="L2" s="49"/>
      <c r="M2" s="49"/>
      <c r="N2" s="49"/>
      <c r="O2" s="49"/>
      <c r="P2" s="49"/>
    </row>
    <row r="3" spans="1:16" x14ac:dyDescent="0.25">
      <c r="B3" s="142" t="s">
        <v>70</v>
      </c>
      <c r="C3" s="141"/>
      <c r="D3" s="141"/>
      <c r="E3" s="141"/>
      <c r="F3" s="141"/>
      <c r="G3" s="141"/>
      <c r="H3" s="141"/>
      <c r="I3" s="141"/>
      <c r="J3" s="141"/>
      <c r="L3" s="49"/>
      <c r="M3" s="49"/>
      <c r="N3" s="49"/>
      <c r="O3" s="49"/>
      <c r="P3" s="49"/>
    </row>
    <row r="4" spans="1:16" x14ac:dyDescent="0.25">
      <c r="B4" s="140" t="s">
        <v>71</v>
      </c>
      <c r="C4" s="140"/>
      <c r="D4" s="140"/>
      <c r="E4" s="140"/>
      <c r="F4" s="140"/>
      <c r="G4" s="140"/>
      <c r="H4" s="140"/>
      <c r="I4" s="140"/>
      <c r="J4" s="140"/>
      <c r="L4" s="49"/>
      <c r="M4" s="49"/>
      <c r="N4" s="49"/>
      <c r="O4" s="49"/>
      <c r="P4" s="49"/>
    </row>
    <row r="5" spans="1:16" x14ac:dyDescent="0.25">
      <c r="B5" s="81" t="s">
        <v>54</v>
      </c>
      <c r="C5" s="81"/>
      <c r="D5" s="81"/>
      <c r="E5" s="81"/>
      <c r="F5" s="81"/>
      <c r="G5" s="81"/>
      <c r="H5" s="81"/>
      <c r="I5" s="81"/>
      <c r="J5" s="81"/>
      <c r="L5" s="49"/>
      <c r="M5" s="49"/>
      <c r="N5" s="49"/>
      <c r="O5" s="49"/>
      <c r="P5" s="49"/>
    </row>
    <row r="6" spans="1:16" x14ac:dyDescent="0.25">
      <c r="B6" s="81" t="s">
        <v>55</v>
      </c>
      <c r="C6" s="81"/>
      <c r="D6" s="81"/>
      <c r="E6" s="81"/>
      <c r="F6" s="81"/>
      <c r="G6" s="81"/>
      <c r="H6" s="81"/>
      <c r="I6" s="81"/>
      <c r="J6" s="81"/>
      <c r="L6" s="49"/>
      <c r="M6" s="49"/>
      <c r="N6" s="49"/>
      <c r="O6" s="49"/>
      <c r="P6" s="49"/>
    </row>
    <row r="7" spans="1:16" x14ac:dyDescent="0.25">
      <c r="B7" s="141"/>
      <c r="C7" s="72"/>
      <c r="D7" s="72"/>
      <c r="E7" s="72"/>
      <c r="F7" s="72"/>
      <c r="G7" s="72"/>
      <c r="H7" s="72"/>
      <c r="I7" s="72"/>
      <c r="J7" s="72"/>
      <c r="L7" s="49"/>
      <c r="M7" s="49"/>
      <c r="N7" s="49"/>
      <c r="O7" s="49"/>
      <c r="P7" s="49"/>
    </row>
    <row r="8" spans="1:16" x14ac:dyDescent="0.25">
      <c r="B8" s="79" t="s">
        <v>62</v>
      </c>
      <c r="C8" s="80"/>
      <c r="D8" s="72"/>
      <c r="E8" s="72"/>
      <c r="F8" s="72"/>
      <c r="G8" s="72"/>
      <c r="H8" s="72"/>
      <c r="I8" s="72"/>
      <c r="J8" s="72"/>
      <c r="L8" s="49"/>
      <c r="M8" s="49"/>
      <c r="N8" s="49"/>
      <c r="O8" s="49"/>
      <c r="P8" s="49"/>
    </row>
    <row r="9" spans="1:16" x14ac:dyDescent="0.25">
      <c r="B9" s="72"/>
      <c r="C9" s="72"/>
      <c r="D9" s="72"/>
      <c r="E9" s="72"/>
      <c r="F9" s="72"/>
      <c r="G9" s="72"/>
      <c r="H9" s="72"/>
      <c r="I9" s="72"/>
      <c r="J9" s="72"/>
      <c r="L9" s="49"/>
      <c r="M9" s="49"/>
      <c r="N9" s="49"/>
      <c r="O9" s="49"/>
      <c r="P9" s="49"/>
    </row>
    <row r="10" spans="1:16" ht="22.5" customHeight="1" x14ac:dyDescent="0.25">
      <c r="B10" s="136" t="s">
        <v>50</v>
      </c>
      <c r="C10" s="137"/>
      <c r="E10" s="136" t="s">
        <v>51</v>
      </c>
      <c r="F10" s="137"/>
      <c r="G10" s="45"/>
      <c r="H10" s="136" t="s">
        <v>52</v>
      </c>
      <c r="I10" s="147"/>
      <c r="J10" s="45"/>
    </row>
    <row r="11" spans="1:16" x14ac:dyDescent="0.25">
      <c r="B11" s="134" t="s">
        <v>69</v>
      </c>
      <c r="C11" s="143"/>
      <c r="E11" s="134" t="s">
        <v>69</v>
      </c>
      <c r="F11" s="143"/>
      <c r="G11" s="45"/>
      <c r="H11" s="134" t="s">
        <v>69</v>
      </c>
      <c r="I11" s="143"/>
      <c r="J11" s="45"/>
    </row>
    <row r="12" spans="1:16" x14ac:dyDescent="0.25">
      <c r="B12" s="134" t="s">
        <v>53</v>
      </c>
      <c r="C12" s="143"/>
      <c r="E12" s="134" t="s">
        <v>53</v>
      </c>
      <c r="F12" s="143"/>
      <c r="G12" s="45"/>
      <c r="H12" s="134" t="s">
        <v>53</v>
      </c>
      <c r="I12" s="143"/>
      <c r="J12" s="45"/>
    </row>
    <row r="13" spans="1:16" ht="32.25" customHeight="1" thickBot="1" x14ac:dyDescent="0.3">
      <c r="B13" s="134" t="s">
        <v>63</v>
      </c>
      <c r="C13" s="143"/>
      <c r="E13" s="134" t="s">
        <v>63</v>
      </c>
      <c r="F13" s="143"/>
      <c r="G13" s="45"/>
      <c r="H13" s="134" t="s">
        <v>63</v>
      </c>
      <c r="I13" s="143"/>
      <c r="J13" s="45"/>
    </row>
    <row r="14" spans="1:16" hidden="1" x14ac:dyDescent="0.25">
      <c r="B14" s="128" t="s">
        <v>28</v>
      </c>
      <c r="C14" s="67">
        <f>C13*0.4/1000</f>
        <v>0</v>
      </c>
      <c r="D14" s="68"/>
      <c r="E14" s="128" t="s">
        <v>28</v>
      </c>
      <c r="F14" s="67">
        <f>F13*0.4/1000</f>
        <v>0</v>
      </c>
      <c r="G14" s="69"/>
      <c r="H14" s="128" t="s">
        <v>28</v>
      </c>
      <c r="I14" s="67">
        <f>I13*0.4/1000</f>
        <v>0</v>
      </c>
      <c r="J14" s="45"/>
      <c r="K14" s="127"/>
    </row>
    <row r="15" spans="1:16" ht="40.5" hidden="1" customHeight="1" x14ac:dyDescent="0.25">
      <c r="B15" s="129" t="s">
        <v>27</v>
      </c>
      <c r="C15" s="70">
        <f>C13/100*C14</f>
        <v>0</v>
      </c>
      <c r="D15" s="68"/>
      <c r="E15" s="129" t="s">
        <v>27</v>
      </c>
      <c r="F15" s="70">
        <f>F13/100*F14</f>
        <v>0</v>
      </c>
      <c r="G15" s="69"/>
      <c r="H15" s="129" t="s">
        <v>27</v>
      </c>
      <c r="I15" s="70">
        <f>I13/100*I14</f>
        <v>0</v>
      </c>
      <c r="J15" s="45"/>
      <c r="K15" s="127"/>
    </row>
    <row r="16" spans="1:16" ht="30" hidden="1" x14ac:dyDescent="0.25">
      <c r="B16" s="129" t="s">
        <v>26</v>
      </c>
      <c r="C16" s="70">
        <f>C13-C15</f>
        <v>0</v>
      </c>
      <c r="D16" s="68"/>
      <c r="E16" s="129" t="s">
        <v>26</v>
      </c>
      <c r="F16" s="70">
        <f>F13-F15</f>
        <v>0</v>
      </c>
      <c r="G16" s="69"/>
      <c r="H16" s="129" t="s">
        <v>26</v>
      </c>
      <c r="I16" s="70">
        <f>I13-I15</f>
        <v>0</v>
      </c>
      <c r="J16" s="45"/>
      <c r="K16" s="127"/>
    </row>
    <row r="17" spans="1:11" ht="42.75" hidden="1" customHeight="1" x14ac:dyDescent="0.25">
      <c r="B17" s="129" t="s">
        <v>25</v>
      </c>
      <c r="C17" s="70" t="e">
        <f>C16/C11</f>
        <v>#DIV/0!</v>
      </c>
      <c r="D17" s="68"/>
      <c r="E17" s="129" t="s">
        <v>25</v>
      </c>
      <c r="F17" s="70" t="e">
        <f>F16/F11</f>
        <v>#DIV/0!</v>
      </c>
      <c r="G17" s="69"/>
      <c r="H17" s="129" t="s">
        <v>25</v>
      </c>
      <c r="I17" s="70" t="e">
        <f>I16/I11</f>
        <v>#DIV/0!</v>
      </c>
      <c r="J17" s="45"/>
      <c r="K17" s="127"/>
    </row>
    <row r="18" spans="1:11" ht="40.5" hidden="1" customHeight="1" x14ac:dyDescent="0.25">
      <c r="B18" s="130" t="s">
        <v>24</v>
      </c>
      <c r="C18" s="71" t="e">
        <f>C17*C12</f>
        <v>#DIV/0!</v>
      </c>
      <c r="D18" s="68"/>
      <c r="E18" s="130" t="s">
        <v>24</v>
      </c>
      <c r="F18" s="71" t="e">
        <f>F17*F12</f>
        <v>#DIV/0!</v>
      </c>
      <c r="G18" s="69"/>
      <c r="H18" s="130" t="s">
        <v>24</v>
      </c>
      <c r="I18" s="71" t="e">
        <f>I17*I12</f>
        <v>#DIV/0!</v>
      </c>
      <c r="J18" s="45"/>
      <c r="K18" s="127"/>
    </row>
    <row r="19" spans="1:11" ht="24" hidden="1" customHeight="1" x14ac:dyDescent="0.25">
      <c r="B19" s="131" t="s">
        <v>57</v>
      </c>
      <c r="C19" s="47" t="e">
        <f>100-(100/C11)</f>
        <v>#DIV/0!</v>
      </c>
      <c r="E19" s="131" t="s">
        <v>57</v>
      </c>
      <c r="F19" s="47" t="e">
        <f>100-(100/F11)</f>
        <v>#DIV/0!</v>
      </c>
      <c r="G19" s="45"/>
      <c r="H19" s="131" t="s">
        <v>57</v>
      </c>
      <c r="I19" s="47" t="e">
        <f>100-(100/I11)</f>
        <v>#DIV/0!</v>
      </c>
      <c r="J19" s="45"/>
      <c r="K19" s="127"/>
    </row>
    <row r="20" spans="1:11" ht="37.5" hidden="1" customHeight="1" x14ac:dyDescent="0.25">
      <c r="B20" s="132" t="s">
        <v>58</v>
      </c>
      <c r="C20" s="46" t="e">
        <f>C15*C19/100</f>
        <v>#DIV/0!</v>
      </c>
      <c r="E20" s="132" t="s">
        <v>58</v>
      </c>
      <c r="F20" s="46" t="e">
        <f>F15*F19/100</f>
        <v>#DIV/0!</v>
      </c>
      <c r="G20" s="45"/>
      <c r="H20" s="132" t="s">
        <v>58</v>
      </c>
      <c r="I20" s="46" t="e">
        <f>I15*I19/100</f>
        <v>#DIV/0!</v>
      </c>
      <c r="J20" s="45"/>
      <c r="K20" s="127"/>
    </row>
    <row r="21" spans="1:11" ht="35.25" hidden="1" customHeight="1" x14ac:dyDescent="0.25">
      <c r="B21" s="132" t="s">
        <v>59</v>
      </c>
      <c r="C21" s="46" t="e">
        <f>C13-C20</f>
        <v>#DIV/0!</v>
      </c>
      <c r="E21" s="132" t="s">
        <v>59</v>
      </c>
      <c r="F21" s="46" t="e">
        <f>F13-F20</f>
        <v>#DIV/0!</v>
      </c>
      <c r="G21" s="45"/>
      <c r="H21" s="132" t="s">
        <v>59</v>
      </c>
      <c r="I21" s="46" t="e">
        <f>I13-I20</f>
        <v>#DIV/0!</v>
      </c>
      <c r="J21" s="45"/>
      <c r="K21" s="127"/>
    </row>
    <row r="22" spans="1:11" ht="37.5" hidden="1" customHeight="1" thickBot="1" x14ac:dyDescent="0.3">
      <c r="B22" s="132" t="s">
        <v>60</v>
      </c>
      <c r="C22" s="46" t="e">
        <f>C21/C11</f>
        <v>#DIV/0!</v>
      </c>
      <c r="E22" s="132" t="s">
        <v>60</v>
      </c>
      <c r="F22" s="46" t="e">
        <f>F21/F11</f>
        <v>#DIV/0!</v>
      </c>
      <c r="G22" s="45"/>
      <c r="H22" s="132" t="s">
        <v>60</v>
      </c>
      <c r="I22" s="46" t="e">
        <f>I21/I11</f>
        <v>#DIV/0!</v>
      </c>
      <c r="J22" s="45"/>
      <c r="K22" s="127"/>
    </row>
    <row r="23" spans="1:11" ht="46.5" customHeight="1" thickBot="1" x14ac:dyDescent="0.3">
      <c r="B23" s="77" t="s">
        <v>72</v>
      </c>
      <c r="C23" s="73" t="e">
        <f>C22*C12</f>
        <v>#DIV/0!</v>
      </c>
      <c r="E23" s="77" t="s">
        <v>72</v>
      </c>
      <c r="F23" s="73" t="e">
        <f>F22*F12</f>
        <v>#DIV/0!</v>
      </c>
      <c r="G23" s="45"/>
      <c r="H23" s="77" t="s">
        <v>72</v>
      </c>
      <c r="I23" s="73" t="e">
        <f>I22*I12</f>
        <v>#DIV/0!</v>
      </c>
      <c r="J23" s="45"/>
    </row>
    <row r="24" spans="1:11" ht="25.5" customHeight="1" x14ac:dyDescent="0.25">
      <c r="B24" s="135" t="s">
        <v>73</v>
      </c>
      <c r="C24" s="138" t="e">
        <f>((C15-C20)/C21)*100</f>
        <v>#DIV/0!</v>
      </c>
      <c r="E24" s="135" t="s">
        <v>73</v>
      </c>
      <c r="F24" s="78" t="e">
        <f>((F15-F20)/F21)*100</f>
        <v>#DIV/0!</v>
      </c>
      <c r="G24" s="45"/>
      <c r="H24" s="135" t="s">
        <v>73</v>
      </c>
      <c r="I24" s="78" t="e">
        <f>((I15-I20)/I21)*100</f>
        <v>#DIV/0!</v>
      </c>
      <c r="J24" s="45"/>
    </row>
    <row r="25" spans="1:11" ht="12.75" customHeight="1" x14ac:dyDescent="0.25">
      <c r="E25" s="14"/>
      <c r="F25" s="43"/>
      <c r="G25" s="45"/>
      <c r="H25" s="14"/>
      <c r="I25" s="43"/>
      <c r="J25" s="45"/>
    </row>
    <row r="26" spans="1:11" ht="12.75" customHeight="1" x14ac:dyDescent="0.25">
      <c r="E26" s="14"/>
      <c r="F26" s="43"/>
      <c r="G26" s="45"/>
      <c r="H26" s="14"/>
      <c r="I26" s="43"/>
      <c r="J26" s="45"/>
    </row>
    <row r="27" spans="1:11" ht="12.75" customHeight="1" x14ac:dyDescent="0.25">
      <c r="A27" s="83" t="s">
        <v>61</v>
      </c>
      <c r="B27" s="139"/>
      <c r="C27" s="139"/>
      <c r="D27" s="139"/>
      <c r="G27" s="45"/>
    </row>
    <row r="28" spans="1:11" ht="12.75" customHeight="1" x14ac:dyDescent="0.25">
      <c r="B28" s="76"/>
      <c r="C28" s="76"/>
      <c r="G28" s="45"/>
    </row>
    <row r="29" spans="1:11" ht="25.5" customHeight="1" x14ac:dyDescent="0.25">
      <c r="B29" s="133" t="s">
        <v>23</v>
      </c>
      <c r="C29" s="17">
        <f>C13*C12</f>
        <v>0</v>
      </c>
      <c r="E29" s="133" t="s">
        <v>23</v>
      </c>
      <c r="F29" s="17">
        <f>F13*F12</f>
        <v>0</v>
      </c>
      <c r="G29" s="45"/>
      <c r="H29" s="133" t="s">
        <v>23</v>
      </c>
      <c r="I29" s="17">
        <f>I13*I12</f>
        <v>0</v>
      </c>
      <c r="J29" s="45"/>
    </row>
    <row r="30" spans="1:11" ht="28.5" customHeight="1" x14ac:dyDescent="0.25">
      <c r="B30" s="134" t="s">
        <v>80</v>
      </c>
      <c r="C30" s="144"/>
      <c r="E30" s="134" t="s">
        <v>80</v>
      </c>
      <c r="F30" s="144"/>
      <c r="G30" s="45"/>
      <c r="H30" s="134" t="s">
        <v>80</v>
      </c>
      <c r="I30" s="144"/>
      <c r="J30" s="45"/>
    </row>
    <row r="31" spans="1:11" ht="27" customHeight="1" x14ac:dyDescent="0.25">
      <c r="B31" s="134" t="s">
        <v>22</v>
      </c>
      <c r="C31" s="74">
        <f>C30+5000</f>
        <v>5000</v>
      </c>
      <c r="E31" s="134" t="s">
        <v>22</v>
      </c>
      <c r="F31" s="74">
        <f>F30+5000</f>
        <v>5000</v>
      </c>
      <c r="G31" s="45"/>
      <c r="H31" s="134" t="s">
        <v>22</v>
      </c>
      <c r="I31" s="74">
        <f>I30+5000</f>
        <v>5000</v>
      </c>
      <c r="J31" s="45"/>
    </row>
    <row r="32" spans="1:11" ht="39" customHeight="1" x14ac:dyDescent="0.25">
      <c r="B32" s="135" t="s">
        <v>21</v>
      </c>
      <c r="C32" s="75">
        <f>C29*C31/10^6</f>
        <v>0</v>
      </c>
      <c r="E32" s="135" t="s">
        <v>21</v>
      </c>
      <c r="F32" s="75">
        <f>F29*F31/10^6</f>
        <v>0</v>
      </c>
      <c r="G32" s="45"/>
      <c r="H32" s="135" t="s">
        <v>21</v>
      </c>
      <c r="I32" s="75">
        <f>I29*I31/10^6</f>
        <v>0</v>
      </c>
      <c r="J32" s="45"/>
    </row>
    <row r="33" spans="2:7" x14ac:dyDescent="0.25">
      <c r="G33" s="45"/>
    </row>
    <row r="34" spans="2:7" x14ac:dyDescent="0.25">
      <c r="C34"/>
      <c r="G34" s="45"/>
    </row>
    <row r="35" spans="2:7" x14ac:dyDescent="0.25">
      <c r="B35" s="145" t="s">
        <v>81</v>
      </c>
      <c r="C35" s="146"/>
      <c r="D35" s="146"/>
      <c r="G35" s="45"/>
    </row>
    <row r="36" spans="2:7" x14ac:dyDescent="0.25">
      <c r="B36"/>
      <c r="C36"/>
      <c r="G36" s="45"/>
    </row>
    <row r="37" spans="2:7" x14ac:dyDescent="0.25">
      <c r="B37"/>
      <c r="C37"/>
      <c r="G37" s="45"/>
    </row>
  </sheetData>
  <sheetProtection sheet="1" objects="1" scenarios="1"/>
  <mergeCells count="6">
    <mergeCell ref="A27:D27"/>
    <mergeCell ref="K14:K22"/>
    <mergeCell ref="B6:J6"/>
    <mergeCell ref="B5:J5"/>
    <mergeCell ref="A2:J2"/>
    <mergeCell ref="B4:J4"/>
  </mergeCells>
  <conditionalFormatting sqref="C11:C13 F11:F13 I11:I13">
    <cfRule type="containsBlanks" dxfId="10" priority="24">
      <formula>LEN(TRIM(C11))=0</formula>
    </cfRule>
  </conditionalFormatting>
  <conditionalFormatting sqref="C13 F13 I13">
    <cfRule type="cellIs" dxfId="9" priority="2" operator="greaterThan">
      <formula>50000</formula>
    </cfRule>
    <cfRule type="cellIs" dxfId="8" priority="3" operator="greaterThan">
      <formula>50000</formula>
    </cfRule>
  </conditionalFormatting>
  <conditionalFormatting sqref="C24 F24 I24">
    <cfRule type="cellIs" dxfId="7" priority="8" operator="greaterThan">
      <formula>5</formula>
    </cfRule>
  </conditionalFormatting>
  <conditionalFormatting sqref="C31">
    <cfRule type="containsBlanks" dxfId="6" priority="21">
      <formula>LEN(TRIM(C31))=0</formula>
    </cfRule>
  </conditionalFormatting>
  <conditionalFormatting sqref="F31">
    <cfRule type="containsBlanks" dxfId="5" priority="5">
      <formula>LEN(TRIM(F31))=0</formula>
    </cfRule>
  </conditionalFormatting>
  <conditionalFormatting sqref="I31">
    <cfRule type="containsBlanks" dxfId="4" priority="4">
      <formula>LEN(TRIM(I31))=0</formula>
    </cfRule>
  </conditionalFormatting>
  <conditionalFormatting sqref="C11 F11 I11">
    <cfRule type="cellIs" dxfId="3" priority="1" operator="greaterThan">
      <formula>16</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6A5DD-39C9-493D-9553-3741F8E6323F}">
  <sheetPr>
    <tabColor rgb="FF00FF00"/>
  </sheetPr>
  <dimension ref="B1:V55"/>
  <sheetViews>
    <sheetView tabSelected="1" zoomScale="90" zoomScaleNormal="90" workbookViewId="0">
      <selection activeCell="AA47" sqref="AA47:AA48"/>
    </sheetView>
  </sheetViews>
  <sheetFormatPr defaultRowHeight="15" x14ac:dyDescent="0.25"/>
  <cols>
    <col min="1" max="1" width="1.42578125" customWidth="1"/>
    <col min="3" max="3" width="10.42578125" customWidth="1"/>
    <col min="4" max="5" width="16.28515625" customWidth="1"/>
    <col min="8" max="8" width="13" customWidth="1"/>
    <col min="18" max="18" width="5.7109375" customWidth="1"/>
    <col min="19" max="19" width="12.42578125" hidden="1" customWidth="1"/>
    <col min="20" max="20" width="12.140625" hidden="1" customWidth="1"/>
    <col min="21" max="21" width="2.5703125" hidden="1" customWidth="1"/>
    <col min="22" max="22" width="9" hidden="1" customWidth="1"/>
  </cols>
  <sheetData>
    <row r="1" spans="2:22" x14ac:dyDescent="0.25">
      <c r="B1" s="99" t="s">
        <v>74</v>
      </c>
      <c r="C1" s="99"/>
      <c r="D1" s="99"/>
      <c r="E1" s="99"/>
      <c r="F1" s="99"/>
      <c r="G1" s="99"/>
    </row>
    <row r="2" spans="2:22" ht="11.25" customHeight="1" thickBot="1" x14ac:dyDescent="0.3"/>
    <row r="3" spans="2:22" ht="30" customHeight="1" thickBot="1" x14ac:dyDescent="0.3">
      <c r="B3" s="104" t="s">
        <v>15</v>
      </c>
      <c r="C3" s="105"/>
      <c r="D3" s="105"/>
      <c r="E3" s="105"/>
      <c r="F3" s="105"/>
      <c r="G3" s="105"/>
      <c r="H3" s="105"/>
      <c r="I3" s="105"/>
      <c r="J3" s="105"/>
      <c r="K3" s="105"/>
      <c r="L3" s="105"/>
      <c r="M3" s="105"/>
      <c r="N3" s="105"/>
      <c r="O3" s="105"/>
      <c r="P3" s="105"/>
      <c r="Q3" s="106"/>
    </row>
    <row r="4" spans="2:22" ht="7.5" customHeight="1" x14ac:dyDescent="0.25">
      <c r="B4" s="13"/>
      <c r="C4" s="13"/>
      <c r="D4" s="13"/>
      <c r="E4" s="13"/>
      <c r="F4" s="13"/>
      <c r="G4" s="13"/>
      <c r="H4" s="13"/>
      <c r="I4" s="13"/>
      <c r="J4" s="13"/>
      <c r="K4" s="13"/>
      <c r="L4" s="13"/>
      <c r="M4" s="13"/>
      <c r="N4" s="13"/>
      <c r="O4" s="13"/>
      <c r="P4" s="13"/>
      <c r="Q4" s="13"/>
    </row>
    <row r="5" spans="2:22" ht="35.25" customHeight="1" x14ac:dyDescent="0.25">
      <c r="B5" s="103" t="s">
        <v>75</v>
      </c>
      <c r="C5" s="103"/>
      <c r="D5" s="103"/>
      <c r="E5" s="103"/>
      <c r="F5" s="103"/>
      <c r="G5" s="103"/>
      <c r="H5" s="103"/>
      <c r="I5" s="103"/>
      <c r="J5" s="103"/>
      <c r="K5" s="103"/>
      <c r="L5" s="103"/>
      <c r="M5" s="103"/>
      <c r="N5" s="103"/>
      <c r="O5" s="103"/>
      <c r="P5" s="103"/>
    </row>
    <row r="6" spans="2:22" ht="11.25" customHeight="1" x14ac:dyDescent="0.25">
      <c r="B6" s="31"/>
      <c r="C6" s="31"/>
      <c r="D6" s="31"/>
      <c r="E6" s="31"/>
      <c r="F6" s="31"/>
      <c r="G6" s="31"/>
      <c r="H6" s="31"/>
      <c r="I6" s="31"/>
      <c r="J6" s="31"/>
      <c r="K6" s="31"/>
      <c r="L6" s="31"/>
      <c r="M6" s="31"/>
      <c r="N6" s="31"/>
      <c r="O6" s="31"/>
      <c r="P6" s="31"/>
      <c r="Q6" s="31"/>
      <c r="R6" s="30"/>
      <c r="S6" s="107" t="s">
        <v>12</v>
      </c>
      <c r="T6" s="108"/>
      <c r="U6" s="108"/>
      <c r="V6" s="109"/>
    </row>
    <row r="7" spans="2:22" s="1" customFormat="1" ht="56.25" customHeight="1" x14ac:dyDescent="0.25">
      <c r="C7" s="6" t="s">
        <v>2</v>
      </c>
      <c r="D7" s="6" t="s">
        <v>64</v>
      </c>
      <c r="E7" s="7" t="s">
        <v>3</v>
      </c>
      <c r="F7" s="8" t="s">
        <v>8</v>
      </c>
      <c r="G7" s="7" t="s">
        <v>4</v>
      </c>
      <c r="I7" s="110" t="s">
        <v>13</v>
      </c>
      <c r="J7" s="110"/>
      <c r="K7" s="110"/>
      <c r="L7" s="110"/>
      <c r="M7" s="110"/>
      <c r="N7" s="14"/>
      <c r="O7" s="14"/>
      <c r="P7" s="14"/>
      <c r="Q7" s="14"/>
      <c r="S7" s="21" t="s">
        <v>9</v>
      </c>
      <c r="T7" s="22" t="s">
        <v>10</v>
      </c>
      <c r="U7" s="22" t="s">
        <v>20</v>
      </c>
      <c r="V7" s="23"/>
    </row>
    <row r="8" spans="2:22" x14ac:dyDescent="0.25">
      <c r="C8" s="36"/>
      <c r="D8" s="36"/>
      <c r="E8" s="120" t="e">
        <f>(D8/SUM($D$8:$D$19))*100</f>
        <v>#DIV/0!</v>
      </c>
      <c r="F8" s="37"/>
      <c r="G8" s="37"/>
      <c r="I8" s="93" t="str">
        <f>IF(F8&gt;3000,"Concentration is too high for accurately counting","")</f>
        <v/>
      </c>
      <c r="J8" s="94"/>
      <c r="K8" s="94"/>
      <c r="L8" s="94"/>
      <c r="M8" s="95"/>
      <c r="N8" s="16"/>
      <c r="O8" s="16"/>
      <c r="P8" s="16"/>
      <c r="Q8" s="16"/>
      <c r="S8" s="24">
        <f>F8*G8</f>
        <v>0</v>
      </c>
      <c r="T8" s="25" t="e">
        <f>S8/E8*100</f>
        <v>#DIV/0!</v>
      </c>
      <c r="U8" s="25" t="str">
        <f>IFERROR(T8/2.4,"")</f>
        <v/>
      </c>
      <c r="V8" s="26">
        <f>C8</f>
        <v>0</v>
      </c>
    </row>
    <row r="9" spans="2:22" x14ac:dyDescent="0.25">
      <c r="C9" s="36"/>
      <c r="D9" s="36"/>
      <c r="E9" s="120" t="e">
        <f t="shared" ref="E9:E19" si="0">(D9/SUM($D$8:$D$19))*100</f>
        <v>#DIV/0!</v>
      </c>
      <c r="F9" s="37"/>
      <c r="G9" s="37"/>
      <c r="I9" s="93" t="str">
        <f t="shared" ref="I9:I19" si="1">IF(F9&gt;3000,"Concentration is too high for accurately counting","")</f>
        <v/>
      </c>
      <c r="J9" s="94"/>
      <c r="K9" s="94"/>
      <c r="L9" s="94"/>
      <c r="M9" s="95"/>
      <c r="N9" s="16"/>
      <c r="O9" s="16"/>
      <c r="P9" s="16"/>
      <c r="Q9" s="16"/>
      <c r="S9" s="24">
        <f t="shared" ref="S9:S19" si="2">F9*G9</f>
        <v>0</v>
      </c>
      <c r="T9" s="25" t="e">
        <f t="shared" ref="T9:T19" si="3">S9/E9*100</f>
        <v>#DIV/0!</v>
      </c>
      <c r="U9" s="25" t="str">
        <f t="shared" ref="U9:U19" si="4">IFERROR(T9/2.4,"")</f>
        <v/>
      </c>
      <c r="V9" s="26">
        <f>C9</f>
        <v>0</v>
      </c>
    </row>
    <row r="10" spans="2:22" x14ac:dyDescent="0.25">
      <c r="C10" s="36"/>
      <c r="D10" s="36"/>
      <c r="E10" s="120" t="e">
        <f t="shared" si="0"/>
        <v>#DIV/0!</v>
      </c>
      <c r="F10" s="37"/>
      <c r="G10" s="37"/>
      <c r="I10" s="93" t="str">
        <f t="shared" si="1"/>
        <v/>
      </c>
      <c r="J10" s="94"/>
      <c r="K10" s="94"/>
      <c r="L10" s="94"/>
      <c r="M10" s="95"/>
      <c r="N10" s="16"/>
      <c r="O10" s="16"/>
      <c r="P10" s="16"/>
      <c r="Q10" s="16"/>
      <c r="S10" s="24">
        <f t="shared" si="2"/>
        <v>0</v>
      </c>
      <c r="T10" s="25" t="e">
        <f t="shared" si="3"/>
        <v>#DIV/0!</v>
      </c>
      <c r="U10" s="25" t="str">
        <f t="shared" si="4"/>
        <v/>
      </c>
      <c r="V10" s="26">
        <f>C10</f>
        <v>0</v>
      </c>
    </row>
    <row r="11" spans="2:22" x14ac:dyDescent="0.25">
      <c r="C11" s="36"/>
      <c r="D11" s="36"/>
      <c r="E11" s="120" t="e">
        <f t="shared" si="0"/>
        <v>#DIV/0!</v>
      </c>
      <c r="F11" s="37"/>
      <c r="G11" s="37"/>
      <c r="I11" s="93" t="str">
        <f t="shared" si="1"/>
        <v/>
      </c>
      <c r="J11" s="94"/>
      <c r="K11" s="94"/>
      <c r="L11" s="94"/>
      <c r="M11" s="95"/>
      <c r="N11" s="16"/>
      <c r="O11" s="16"/>
      <c r="P11" s="16"/>
      <c r="Q11" s="16"/>
      <c r="S11" s="24">
        <f t="shared" si="2"/>
        <v>0</v>
      </c>
      <c r="T11" s="25" t="e">
        <f t="shared" si="3"/>
        <v>#DIV/0!</v>
      </c>
      <c r="U11" s="25" t="str">
        <f t="shared" si="4"/>
        <v/>
      </c>
      <c r="V11" s="26">
        <f>C11</f>
        <v>0</v>
      </c>
    </row>
    <row r="12" spans="2:22" x14ac:dyDescent="0.25">
      <c r="C12" s="36"/>
      <c r="D12" s="36"/>
      <c r="E12" s="120" t="e">
        <f t="shared" si="0"/>
        <v>#DIV/0!</v>
      </c>
      <c r="F12" s="37"/>
      <c r="G12" s="37"/>
      <c r="I12" s="93" t="str">
        <f t="shared" si="1"/>
        <v/>
      </c>
      <c r="J12" s="94"/>
      <c r="K12" s="94"/>
      <c r="L12" s="94"/>
      <c r="M12" s="95"/>
      <c r="N12" s="16"/>
      <c r="O12" s="16"/>
      <c r="P12" s="16"/>
      <c r="Q12" s="16"/>
      <c r="S12" s="24">
        <f t="shared" si="2"/>
        <v>0</v>
      </c>
      <c r="T12" s="25" t="e">
        <f t="shared" si="3"/>
        <v>#DIV/0!</v>
      </c>
      <c r="U12" s="25" t="str">
        <f t="shared" si="4"/>
        <v/>
      </c>
      <c r="V12" s="26">
        <f>C12</f>
        <v>0</v>
      </c>
    </row>
    <row r="13" spans="2:22" x14ac:dyDescent="0.25">
      <c r="C13" s="36"/>
      <c r="D13" s="36"/>
      <c r="E13" s="120" t="e">
        <f t="shared" si="0"/>
        <v>#DIV/0!</v>
      </c>
      <c r="F13" s="37"/>
      <c r="G13" s="37"/>
      <c r="I13" s="93" t="str">
        <f t="shared" si="1"/>
        <v/>
      </c>
      <c r="J13" s="94"/>
      <c r="K13" s="94"/>
      <c r="L13" s="94"/>
      <c r="M13" s="95"/>
      <c r="N13" s="16"/>
      <c r="O13" s="16"/>
      <c r="P13" s="16"/>
      <c r="Q13" s="16"/>
      <c r="S13" s="24">
        <f t="shared" si="2"/>
        <v>0</v>
      </c>
      <c r="T13" s="25" t="e">
        <f t="shared" si="3"/>
        <v>#DIV/0!</v>
      </c>
      <c r="U13" s="25" t="str">
        <f t="shared" si="4"/>
        <v/>
      </c>
      <c r="V13" s="26">
        <f>C13</f>
        <v>0</v>
      </c>
    </row>
    <row r="14" spans="2:22" x14ac:dyDescent="0.25">
      <c r="C14" s="36"/>
      <c r="D14" s="36"/>
      <c r="E14" s="120" t="e">
        <f t="shared" si="0"/>
        <v>#DIV/0!</v>
      </c>
      <c r="F14" s="37"/>
      <c r="G14" s="37"/>
      <c r="I14" s="93" t="str">
        <f t="shared" si="1"/>
        <v/>
      </c>
      <c r="J14" s="94"/>
      <c r="K14" s="94"/>
      <c r="L14" s="94"/>
      <c r="M14" s="95"/>
      <c r="N14" s="16"/>
      <c r="O14" s="16"/>
      <c r="P14" s="16"/>
      <c r="Q14" s="16"/>
      <c r="S14" s="24">
        <f t="shared" si="2"/>
        <v>0</v>
      </c>
      <c r="T14" s="25" t="e">
        <f t="shared" si="3"/>
        <v>#DIV/0!</v>
      </c>
      <c r="U14" s="25" t="str">
        <f t="shared" si="4"/>
        <v/>
      </c>
      <c r="V14" s="26">
        <f>C14</f>
        <v>0</v>
      </c>
    </row>
    <row r="15" spans="2:22" x14ac:dyDescent="0.25">
      <c r="C15" s="36"/>
      <c r="D15" s="36"/>
      <c r="E15" s="120" t="e">
        <f t="shared" si="0"/>
        <v>#DIV/0!</v>
      </c>
      <c r="F15" s="37"/>
      <c r="G15" s="37"/>
      <c r="I15" s="93" t="str">
        <f t="shared" si="1"/>
        <v/>
      </c>
      <c r="J15" s="94"/>
      <c r="K15" s="94"/>
      <c r="L15" s="94"/>
      <c r="M15" s="95"/>
      <c r="N15" s="16"/>
      <c r="O15" s="16"/>
      <c r="P15" s="16"/>
      <c r="Q15" s="16"/>
      <c r="S15" s="24">
        <f t="shared" si="2"/>
        <v>0</v>
      </c>
      <c r="T15" s="25" t="e">
        <f t="shared" si="3"/>
        <v>#DIV/0!</v>
      </c>
      <c r="U15" s="25" t="str">
        <f t="shared" si="4"/>
        <v/>
      </c>
      <c r="V15" s="26">
        <f>C15</f>
        <v>0</v>
      </c>
    </row>
    <row r="16" spans="2:22" x14ac:dyDescent="0.25">
      <c r="C16" s="36"/>
      <c r="D16" s="36"/>
      <c r="E16" s="120" t="e">
        <f t="shared" si="0"/>
        <v>#DIV/0!</v>
      </c>
      <c r="F16" s="37"/>
      <c r="G16" s="37"/>
      <c r="I16" s="93" t="str">
        <f t="shared" si="1"/>
        <v/>
      </c>
      <c r="J16" s="94"/>
      <c r="K16" s="94"/>
      <c r="L16" s="94"/>
      <c r="M16" s="95"/>
      <c r="N16" s="16"/>
      <c r="O16" s="16"/>
      <c r="P16" s="16"/>
      <c r="Q16" s="16"/>
      <c r="S16" s="24">
        <f t="shared" si="2"/>
        <v>0</v>
      </c>
      <c r="T16" s="25" t="e">
        <f t="shared" si="3"/>
        <v>#DIV/0!</v>
      </c>
      <c r="U16" s="25" t="str">
        <f t="shared" si="4"/>
        <v/>
      </c>
      <c r="V16" s="26">
        <f>C16</f>
        <v>0</v>
      </c>
    </row>
    <row r="17" spans="2:22" x14ac:dyDescent="0.25">
      <c r="C17" s="36"/>
      <c r="D17" s="36"/>
      <c r="E17" s="120" t="e">
        <f t="shared" si="0"/>
        <v>#DIV/0!</v>
      </c>
      <c r="F17" s="37"/>
      <c r="G17" s="37"/>
      <c r="I17" s="93" t="str">
        <f t="shared" si="1"/>
        <v/>
      </c>
      <c r="J17" s="94"/>
      <c r="K17" s="94"/>
      <c r="L17" s="94"/>
      <c r="M17" s="95"/>
      <c r="N17" s="16"/>
      <c r="O17" s="16"/>
      <c r="P17" s="16"/>
      <c r="Q17" s="16"/>
      <c r="S17" s="24">
        <f t="shared" si="2"/>
        <v>0</v>
      </c>
      <c r="T17" s="25" t="e">
        <f t="shared" si="3"/>
        <v>#DIV/0!</v>
      </c>
      <c r="U17" s="25" t="str">
        <f t="shared" si="4"/>
        <v/>
      </c>
      <c r="V17" s="26">
        <f>C17</f>
        <v>0</v>
      </c>
    </row>
    <row r="18" spans="2:22" x14ac:dyDescent="0.25">
      <c r="C18" s="36"/>
      <c r="D18" s="36"/>
      <c r="E18" s="120" t="e">
        <f t="shared" si="0"/>
        <v>#DIV/0!</v>
      </c>
      <c r="F18" s="37"/>
      <c r="G18" s="37"/>
      <c r="I18" s="93" t="str">
        <f t="shared" si="1"/>
        <v/>
      </c>
      <c r="J18" s="94"/>
      <c r="K18" s="94"/>
      <c r="L18" s="94"/>
      <c r="M18" s="95"/>
      <c r="N18" s="16"/>
      <c r="O18" s="16"/>
      <c r="P18" s="16"/>
      <c r="Q18" s="16"/>
      <c r="S18" s="24">
        <f t="shared" si="2"/>
        <v>0</v>
      </c>
      <c r="T18" s="25" t="e">
        <f t="shared" si="3"/>
        <v>#DIV/0!</v>
      </c>
      <c r="U18" s="25" t="str">
        <f t="shared" si="4"/>
        <v/>
      </c>
      <c r="V18" s="26">
        <f>C18</f>
        <v>0</v>
      </c>
    </row>
    <row r="19" spans="2:22" ht="15.75" thickBot="1" x14ac:dyDescent="0.3">
      <c r="C19" s="38"/>
      <c r="D19" s="38"/>
      <c r="E19" s="121" t="e">
        <f t="shared" si="0"/>
        <v>#DIV/0!</v>
      </c>
      <c r="F19" s="39"/>
      <c r="G19" s="39"/>
      <c r="H19" s="33"/>
      <c r="I19" s="100" t="str">
        <f t="shared" si="1"/>
        <v/>
      </c>
      <c r="J19" s="101"/>
      <c r="K19" s="101"/>
      <c r="L19" s="101"/>
      <c r="M19" s="102"/>
      <c r="N19" s="16"/>
      <c r="O19" s="16"/>
      <c r="P19" s="16"/>
      <c r="Q19" s="16"/>
      <c r="S19" s="27">
        <f t="shared" si="2"/>
        <v>0</v>
      </c>
      <c r="T19" s="28" t="e">
        <f t="shared" si="3"/>
        <v>#DIV/0!</v>
      </c>
      <c r="U19" s="28" t="str">
        <f t="shared" si="4"/>
        <v/>
      </c>
      <c r="V19" s="29">
        <f>C19</f>
        <v>0</v>
      </c>
    </row>
    <row r="20" spans="2:22" ht="15.75" thickTop="1" x14ac:dyDescent="0.25">
      <c r="C20" s="10" t="s">
        <v>6</v>
      </c>
      <c r="D20" s="10"/>
      <c r="E20" s="10" t="e">
        <f>ROUND(SUM(E8:E19),1)&amp;"%"</f>
        <v>#DIV/0!</v>
      </c>
      <c r="I20" s="111" t="e">
        <f>IF(E20="100%","","Total is not 100%!")</f>
        <v>#DIV/0!</v>
      </c>
      <c r="J20" s="111"/>
      <c r="K20" s="111"/>
      <c r="L20" s="111"/>
      <c r="M20" s="111"/>
      <c r="N20" s="14"/>
      <c r="O20" s="14"/>
      <c r="P20" s="14"/>
      <c r="Q20" s="14"/>
    </row>
    <row r="21" spans="2:22" ht="8.25" customHeight="1" x14ac:dyDescent="0.25">
      <c r="C21" s="10"/>
      <c r="D21" s="10"/>
      <c r="I21" s="15"/>
      <c r="J21" s="15"/>
      <c r="K21" s="15"/>
      <c r="L21" s="15"/>
      <c r="M21" s="15"/>
      <c r="N21" s="14"/>
      <c r="O21" s="14"/>
      <c r="P21" s="14"/>
    </row>
    <row r="22" spans="2:22" x14ac:dyDescent="0.25">
      <c r="B22" s="103" t="s">
        <v>76</v>
      </c>
      <c r="C22" s="103"/>
      <c r="D22" s="103"/>
      <c r="E22" s="103"/>
      <c r="F22" s="103"/>
      <c r="G22" s="103"/>
      <c r="H22" s="103"/>
      <c r="I22" s="103"/>
      <c r="J22" s="103"/>
      <c r="K22" s="103"/>
      <c r="L22" s="103"/>
      <c r="M22" s="103"/>
      <c r="N22" s="103"/>
      <c r="O22" s="103"/>
      <c r="P22" s="103"/>
    </row>
    <row r="23" spans="2:22" ht="10.5" customHeight="1" x14ac:dyDescent="0.25">
      <c r="C23" s="10"/>
      <c r="D23" s="10"/>
      <c r="I23" s="15"/>
      <c r="J23" s="15"/>
      <c r="K23" s="15"/>
      <c r="L23" s="15"/>
      <c r="M23" s="15"/>
      <c r="N23" s="14"/>
      <c r="O23" s="14"/>
      <c r="P23" s="14"/>
    </row>
    <row r="24" spans="2:22" ht="15" customHeight="1" x14ac:dyDescent="0.25">
      <c r="C24" s="122" t="s">
        <v>11</v>
      </c>
      <c r="D24" s="123"/>
      <c r="E24" s="123"/>
      <c r="F24" s="123"/>
      <c r="G24" s="123"/>
      <c r="H24" s="126">
        <f>IF(MIN(U8:U19)&lt;50000,MIN(U8:U19),50000)</f>
        <v>0</v>
      </c>
      <c r="I24" s="19"/>
      <c r="J24" s="20"/>
      <c r="K24" s="20"/>
      <c r="L24" s="20"/>
      <c r="M24" s="20"/>
      <c r="N24" s="20"/>
      <c r="O24" s="20"/>
      <c r="P24" s="18"/>
    </row>
    <row r="25" spans="2:22" x14ac:dyDescent="0.25">
      <c r="C25" s="124" t="s">
        <v>66</v>
      </c>
      <c r="D25" s="125"/>
      <c r="E25" s="125"/>
      <c r="F25" s="125"/>
      <c r="G25" s="125"/>
      <c r="H25" s="34" t="e">
        <f>IF(H24=50000,"None",VLOOKUP(H24,U8:V19,2,FALSE))</f>
        <v>#N/A</v>
      </c>
      <c r="I25" s="19"/>
      <c r="J25" s="20"/>
      <c r="K25" s="20"/>
      <c r="L25" s="20"/>
      <c r="M25" s="20"/>
      <c r="N25" s="20"/>
      <c r="O25" s="20"/>
      <c r="P25" s="18"/>
    </row>
    <row r="26" spans="2:22" ht="7.5" customHeight="1" x14ac:dyDescent="0.25">
      <c r="C26" s="10"/>
      <c r="D26" s="10"/>
      <c r="I26" s="15"/>
      <c r="J26" s="15"/>
      <c r="K26" s="15"/>
      <c r="L26" s="15"/>
      <c r="M26" s="14"/>
    </row>
    <row r="27" spans="2:22" x14ac:dyDescent="0.25">
      <c r="B27" s="103" t="s">
        <v>77</v>
      </c>
      <c r="C27" s="103"/>
      <c r="D27" s="103"/>
      <c r="E27" s="103"/>
      <c r="F27" s="103"/>
      <c r="G27" s="103"/>
      <c r="H27" s="103"/>
      <c r="I27" s="103"/>
      <c r="J27" s="103"/>
      <c r="K27" s="103"/>
      <c r="L27" s="103"/>
      <c r="M27" s="103"/>
      <c r="N27" s="103"/>
      <c r="O27" s="103"/>
      <c r="P27" s="103"/>
    </row>
    <row r="28" spans="2:22" ht="9" customHeight="1" x14ac:dyDescent="0.25">
      <c r="B28" s="31"/>
      <c r="C28" s="31"/>
      <c r="D28" s="31"/>
      <c r="E28" s="31"/>
      <c r="F28" s="31"/>
      <c r="G28" s="31"/>
      <c r="H28" s="31"/>
      <c r="I28" s="31"/>
      <c r="J28" s="31"/>
      <c r="K28" s="31"/>
      <c r="L28" s="31"/>
      <c r="M28" s="31"/>
      <c r="N28" s="31"/>
      <c r="O28" s="31"/>
    </row>
    <row r="29" spans="2:22" ht="35.25" customHeight="1" thickBot="1" x14ac:dyDescent="0.3">
      <c r="H29" s="114" t="s">
        <v>14</v>
      </c>
      <c r="I29" s="114"/>
      <c r="J29" s="114"/>
      <c r="K29" s="114"/>
      <c r="L29" s="114"/>
      <c r="M29" s="114"/>
      <c r="N29" s="114"/>
      <c r="O29" s="114"/>
      <c r="P29" s="114"/>
      <c r="Q29" s="114"/>
    </row>
    <row r="30" spans="2:22" ht="15.75" thickBot="1" x14ac:dyDescent="0.3">
      <c r="B30" s="112" t="s">
        <v>65</v>
      </c>
      <c r="C30" s="112"/>
      <c r="D30" s="112"/>
      <c r="E30" s="113"/>
      <c r="F30" s="40"/>
      <c r="G30" s="5"/>
      <c r="H30" s="115" t="str">
        <f>IF(F30="","",IF(F30&gt;50000,"Too high, max is 50k cells.",IF(F30&lt;7000,"Seems a suspiciously low nb of total targeted cells for a cellplex experiment!","")))</f>
        <v/>
      </c>
      <c r="I30" s="115"/>
      <c r="J30" s="115"/>
      <c r="K30" s="115"/>
      <c r="L30" s="115"/>
      <c r="M30" s="115"/>
      <c r="N30" s="115"/>
      <c r="O30" s="115"/>
      <c r="P30" s="115"/>
      <c r="Q30" s="115"/>
    </row>
    <row r="31" spans="2:22" ht="15.75" thickBot="1" x14ac:dyDescent="0.3">
      <c r="B31" s="112" t="s">
        <v>67</v>
      </c>
      <c r="C31" s="112"/>
      <c r="D31" s="112"/>
      <c r="E31" s="113"/>
      <c r="F31" s="40"/>
      <c r="H31" s="116" t="str">
        <f>IF(F31="","",IF(F31/F30&lt;2.4,"Too low total nb of cells in pool as compared to total nb of targeted cells.",IF(F31/F30&lt;2.9,"Borderline total nb of cells in pool as compared to total nb of targeted cells.","")))</f>
        <v/>
      </c>
      <c r="I31" s="116"/>
      <c r="J31" s="116"/>
      <c r="K31" s="116"/>
      <c r="L31" s="116"/>
      <c r="M31" s="116"/>
      <c r="N31" s="116"/>
      <c r="O31" s="116"/>
      <c r="P31" s="116"/>
      <c r="Q31" s="116"/>
    </row>
    <row r="32" spans="2:22" ht="15.75" thickBot="1" x14ac:dyDescent="0.3">
      <c r="B32" s="112" t="s">
        <v>68</v>
      </c>
      <c r="C32" s="112"/>
      <c r="D32" s="112"/>
      <c r="E32" s="113"/>
      <c r="F32" s="41"/>
      <c r="H32" s="116" t="str">
        <f>IF(F32="","",IF(F32&lt;30,"Seems very low! Sure?",IF(F32&gt;500,"Seems very high! Sure?","")))</f>
        <v/>
      </c>
      <c r="I32" s="116"/>
      <c r="J32" s="116"/>
      <c r="K32" s="116"/>
      <c r="L32" s="116"/>
      <c r="M32" s="116"/>
      <c r="N32" s="116"/>
      <c r="O32" s="116"/>
      <c r="P32" s="116"/>
      <c r="Q32" s="116"/>
    </row>
    <row r="33" spans="2:20" x14ac:dyDescent="0.25">
      <c r="B33" s="112" t="s">
        <v>0</v>
      </c>
      <c r="C33" s="112"/>
      <c r="D33" s="112"/>
      <c r="E33" s="112"/>
      <c r="F33" s="4" t="str">
        <f>IF(F32="","",F31/F32)</f>
        <v/>
      </c>
      <c r="G33" s="2" t="s">
        <v>1</v>
      </c>
      <c r="H33" s="117" t="str">
        <f>IF(F30&lt;10001,(IF(F33&lt;700,"Too low concentration (expected 700-1200 cells/ul) -&gt; decrease total volume or increase total nb of cells.","")),(IF(F30&lt;20001,(IF(F33&lt;1100,"Too low concentration (expected 1'100-1'500 cells/ul) -&gt; decrease total volume or increase total nb of cells.","")),(IF(F33&lt;1500,"Too low concentration (expected 1500-1900 cells/ul) -&gt; decrease total volume or increase total nb of cells.","")))))</f>
        <v/>
      </c>
      <c r="I33" s="117"/>
      <c r="J33" s="117"/>
      <c r="K33" s="117"/>
      <c r="L33" s="117"/>
      <c r="M33" s="117"/>
      <c r="N33" s="117"/>
      <c r="O33" s="117"/>
      <c r="P33" s="117"/>
      <c r="Q33" s="117"/>
      <c r="T33" s="42"/>
    </row>
    <row r="34" spans="2:20" ht="9.75" customHeight="1" x14ac:dyDescent="0.25">
      <c r="B34" s="10"/>
      <c r="C34" s="10"/>
      <c r="I34" s="15"/>
      <c r="J34" s="15"/>
      <c r="K34" s="15"/>
      <c r="L34" s="15"/>
    </row>
    <row r="35" spans="2:20" x14ac:dyDescent="0.25">
      <c r="B35" s="103" t="s">
        <v>78</v>
      </c>
      <c r="C35" s="103"/>
      <c r="D35" s="103"/>
      <c r="E35" s="103"/>
      <c r="F35" s="103"/>
      <c r="G35" s="103"/>
      <c r="H35" s="103"/>
      <c r="I35" s="103"/>
      <c r="J35" s="103"/>
      <c r="K35" s="103"/>
      <c r="L35" s="103"/>
      <c r="M35" s="103"/>
      <c r="N35" s="103"/>
      <c r="O35" s="103"/>
      <c r="P35" s="103"/>
    </row>
    <row r="36" spans="2:20" x14ac:dyDescent="0.25">
      <c r="C36" s="31"/>
      <c r="D36" s="31"/>
      <c r="E36" s="31"/>
      <c r="F36" s="31"/>
      <c r="G36" s="31"/>
      <c r="H36" s="31"/>
      <c r="I36" s="31"/>
      <c r="J36" s="31"/>
      <c r="K36" s="31"/>
      <c r="L36" s="31"/>
      <c r="M36" s="31"/>
      <c r="N36" s="31"/>
      <c r="O36" s="31"/>
      <c r="P36" s="31"/>
      <c r="Q36" s="31"/>
    </row>
    <row r="37" spans="2:20" ht="30" customHeight="1" x14ac:dyDescent="0.25">
      <c r="D37" s="6" t="s">
        <v>2</v>
      </c>
      <c r="E37" s="9" t="s">
        <v>5</v>
      </c>
      <c r="F37" s="1"/>
      <c r="G37" s="87" t="s">
        <v>16</v>
      </c>
      <c r="H37" s="88"/>
      <c r="I37" s="88"/>
      <c r="J37" s="88"/>
      <c r="K37" s="88"/>
      <c r="L37" s="88"/>
      <c r="M37" s="88"/>
      <c r="N37" s="88"/>
      <c r="O37" s="88"/>
      <c r="P37" s="88"/>
      <c r="Q37" s="89"/>
    </row>
    <row r="38" spans="2:20" x14ac:dyDescent="0.25">
      <c r="D38" s="12" t="str">
        <f>IF(C8="","",C8)</f>
        <v/>
      </c>
      <c r="E38" s="11" t="str">
        <f>IF(D8="","",((E8/100)*$F$31)/F8)</f>
        <v/>
      </c>
      <c r="G38" s="90" t="str">
        <f>IF(G8="","",IF(E38&gt;G8,"Not enough volume in sample. Decrease total nb cells in pool, or % for this sample",""))</f>
        <v/>
      </c>
      <c r="H38" s="91"/>
      <c r="I38" s="91"/>
      <c r="J38" s="91"/>
      <c r="K38" s="91"/>
      <c r="L38" s="91"/>
      <c r="M38" s="91"/>
      <c r="N38" s="91"/>
      <c r="O38" s="91"/>
      <c r="P38" s="91"/>
      <c r="Q38" s="92"/>
    </row>
    <row r="39" spans="2:20" x14ac:dyDescent="0.25">
      <c r="D39" s="12" t="str">
        <f t="shared" ref="D39:D49" si="5">IF(C9="","",C9)</f>
        <v/>
      </c>
      <c r="E39" s="11" t="str">
        <f t="shared" ref="E39:E49" si="6">IF(D9="","",((E9/100)*$F$31)/F9)</f>
        <v/>
      </c>
      <c r="G39" s="93" t="str">
        <f>IF(G9="","",IF(E39&gt;G9,"Not enough volume in sample. Decrease total nb cells in pool, or % for this sample",""))</f>
        <v/>
      </c>
      <c r="H39" s="94"/>
      <c r="I39" s="94"/>
      <c r="J39" s="94"/>
      <c r="K39" s="94"/>
      <c r="L39" s="94"/>
      <c r="M39" s="94"/>
      <c r="N39" s="94"/>
      <c r="O39" s="94"/>
      <c r="P39" s="94"/>
      <c r="Q39" s="95"/>
    </row>
    <row r="40" spans="2:20" x14ac:dyDescent="0.25">
      <c r="D40" s="12" t="str">
        <f t="shared" si="5"/>
        <v/>
      </c>
      <c r="E40" s="11" t="str">
        <f t="shared" si="6"/>
        <v/>
      </c>
      <c r="G40" s="93" t="str">
        <f>IF(G10="","",IF(E40&gt;G10,"Not enough volume in sample. Decrease total nb cells in pool, or % for this sample",""))</f>
        <v/>
      </c>
      <c r="H40" s="94"/>
      <c r="I40" s="94"/>
      <c r="J40" s="94"/>
      <c r="K40" s="94"/>
      <c r="L40" s="94"/>
      <c r="M40" s="94"/>
      <c r="N40" s="94"/>
      <c r="O40" s="94"/>
      <c r="P40" s="94"/>
      <c r="Q40" s="95"/>
    </row>
    <row r="41" spans="2:20" x14ac:dyDescent="0.25">
      <c r="D41" s="12" t="str">
        <f t="shared" si="5"/>
        <v/>
      </c>
      <c r="E41" s="11" t="str">
        <f t="shared" si="6"/>
        <v/>
      </c>
      <c r="G41" s="93" t="str">
        <f>IF(G11="","",IF(E41&gt;G11,"Not enough volume in sample. Decrease total nb cells in pool, or % for this sample",""))</f>
        <v/>
      </c>
      <c r="H41" s="94"/>
      <c r="I41" s="94"/>
      <c r="J41" s="94"/>
      <c r="K41" s="94"/>
      <c r="L41" s="94"/>
      <c r="M41" s="94"/>
      <c r="N41" s="94"/>
      <c r="O41" s="94"/>
      <c r="P41" s="94"/>
      <c r="Q41" s="95"/>
    </row>
    <row r="42" spans="2:20" x14ac:dyDescent="0.25">
      <c r="D42" s="12" t="str">
        <f t="shared" si="5"/>
        <v/>
      </c>
      <c r="E42" s="11" t="str">
        <f t="shared" si="6"/>
        <v/>
      </c>
      <c r="G42" s="93" t="str">
        <f>IF(G12="","",IF(E42&gt;G12,"Not enough volume in sample. Decrease total nb cells in pool, or % for this sample",""))</f>
        <v/>
      </c>
      <c r="H42" s="94"/>
      <c r="I42" s="94"/>
      <c r="J42" s="94"/>
      <c r="K42" s="94"/>
      <c r="L42" s="94"/>
      <c r="M42" s="94"/>
      <c r="N42" s="94"/>
      <c r="O42" s="94"/>
      <c r="P42" s="94"/>
      <c r="Q42" s="95"/>
    </row>
    <row r="43" spans="2:20" x14ac:dyDescent="0.25">
      <c r="D43" s="12" t="str">
        <f t="shared" si="5"/>
        <v/>
      </c>
      <c r="E43" s="11" t="str">
        <f t="shared" si="6"/>
        <v/>
      </c>
      <c r="G43" s="93" t="str">
        <f>IF(G13="","",IF(E43&gt;G13,"Not enough volume in sample. Decrease total nb cells in pool, or % for this sample",""))</f>
        <v/>
      </c>
      <c r="H43" s="94"/>
      <c r="I43" s="94"/>
      <c r="J43" s="94"/>
      <c r="K43" s="94"/>
      <c r="L43" s="94"/>
      <c r="M43" s="94"/>
      <c r="N43" s="94"/>
      <c r="O43" s="94"/>
      <c r="P43" s="94"/>
      <c r="Q43" s="95"/>
    </row>
    <row r="44" spans="2:20" x14ac:dyDescent="0.25">
      <c r="D44" s="12" t="str">
        <f t="shared" si="5"/>
        <v/>
      </c>
      <c r="E44" s="11" t="str">
        <f t="shared" si="6"/>
        <v/>
      </c>
      <c r="G44" s="93" t="str">
        <f>IF(G14="","",IF(E44&gt;G14,"Not enough volume in sample. Decrease total nb cells in pool, or % for this sample",""))</f>
        <v/>
      </c>
      <c r="H44" s="94"/>
      <c r="I44" s="94"/>
      <c r="J44" s="94"/>
      <c r="K44" s="94"/>
      <c r="L44" s="94"/>
      <c r="M44" s="94"/>
      <c r="N44" s="94"/>
      <c r="O44" s="94"/>
      <c r="P44" s="94"/>
      <c r="Q44" s="95"/>
    </row>
    <row r="45" spans="2:20" x14ac:dyDescent="0.25">
      <c r="D45" s="12" t="str">
        <f t="shared" si="5"/>
        <v/>
      </c>
      <c r="E45" s="11" t="str">
        <f t="shared" si="6"/>
        <v/>
      </c>
      <c r="G45" s="93" t="str">
        <f>IF(G15="","",IF(E45&gt;G15,"Not enough volume in sample. Decrease total nb cells in pool, or % for this sample",""))</f>
        <v/>
      </c>
      <c r="H45" s="94"/>
      <c r="I45" s="94"/>
      <c r="J45" s="94"/>
      <c r="K45" s="94"/>
      <c r="L45" s="94"/>
      <c r="M45" s="94"/>
      <c r="N45" s="94"/>
      <c r="O45" s="94"/>
      <c r="P45" s="94"/>
      <c r="Q45" s="95"/>
    </row>
    <row r="46" spans="2:20" x14ac:dyDescent="0.25">
      <c r="D46" s="12" t="str">
        <f t="shared" si="5"/>
        <v/>
      </c>
      <c r="E46" s="11" t="str">
        <f t="shared" si="6"/>
        <v/>
      </c>
      <c r="G46" s="93" t="str">
        <f>IF(G16="","",IF(E46&gt;G16,"Not enough volume in sample. Decrease total nb cells in pool, or % for this sample",""))</f>
        <v/>
      </c>
      <c r="H46" s="94"/>
      <c r="I46" s="94"/>
      <c r="J46" s="94"/>
      <c r="K46" s="94"/>
      <c r="L46" s="94"/>
      <c r="M46" s="94"/>
      <c r="N46" s="94"/>
      <c r="O46" s="94"/>
      <c r="P46" s="94"/>
      <c r="Q46" s="95"/>
    </row>
    <row r="47" spans="2:20" x14ac:dyDescent="0.25">
      <c r="D47" s="12" t="str">
        <f t="shared" si="5"/>
        <v/>
      </c>
      <c r="E47" s="11" t="str">
        <f t="shared" si="6"/>
        <v/>
      </c>
      <c r="G47" s="93" t="str">
        <f>IF(G17="","",IF(E47&gt;G17,"Not enough volume in sample. Decrease total nb cells in pool, or % for this sample",""))</f>
        <v/>
      </c>
      <c r="H47" s="94"/>
      <c r="I47" s="94"/>
      <c r="J47" s="94"/>
      <c r="K47" s="94"/>
      <c r="L47" s="94"/>
      <c r="M47" s="94"/>
      <c r="N47" s="94"/>
      <c r="O47" s="94"/>
      <c r="P47" s="94"/>
      <c r="Q47" s="95"/>
    </row>
    <row r="48" spans="2:20" x14ac:dyDescent="0.25">
      <c r="D48" s="12" t="str">
        <f t="shared" si="5"/>
        <v/>
      </c>
      <c r="E48" s="11" t="str">
        <f t="shared" si="6"/>
        <v/>
      </c>
      <c r="G48" s="93" t="str">
        <f>IF(G18="","",IF(E48&gt;G18,"Not enough volume in sample. Decrease total nb cells in pool, or % for this sample",""))</f>
        <v/>
      </c>
      <c r="H48" s="94"/>
      <c r="I48" s="94"/>
      <c r="J48" s="94"/>
      <c r="K48" s="94"/>
      <c r="L48" s="94"/>
      <c r="M48" s="94"/>
      <c r="N48" s="94"/>
      <c r="O48" s="94"/>
      <c r="P48" s="94"/>
      <c r="Q48" s="95"/>
    </row>
    <row r="49" spans="2:17" x14ac:dyDescent="0.25">
      <c r="D49" s="12" t="str">
        <f t="shared" si="5"/>
        <v/>
      </c>
      <c r="E49" s="11" t="str">
        <f t="shared" si="6"/>
        <v/>
      </c>
      <c r="G49" s="96" t="str">
        <f>IF(G19="","",IF(E49&gt;G19,"Not enough volume in sample. Decrease total nb cells in pool, or % for this sample",""))</f>
        <v/>
      </c>
      <c r="H49" s="97"/>
      <c r="I49" s="97"/>
      <c r="J49" s="97"/>
      <c r="K49" s="97"/>
      <c r="L49" s="97"/>
      <c r="M49" s="97"/>
      <c r="N49" s="97"/>
      <c r="O49" s="97"/>
      <c r="P49" s="97"/>
      <c r="Q49" s="98"/>
    </row>
    <row r="50" spans="2:17" ht="7.5" customHeight="1" x14ac:dyDescent="0.25">
      <c r="C50" s="10"/>
      <c r="G50" s="15"/>
      <c r="H50" s="15"/>
      <c r="I50" s="15"/>
      <c r="J50" s="15"/>
    </row>
    <row r="51" spans="2:17" ht="15" customHeight="1" x14ac:dyDescent="0.25">
      <c r="B51" s="32"/>
      <c r="C51" s="32"/>
      <c r="D51" s="32" t="s">
        <v>17</v>
      </c>
      <c r="E51" s="35">
        <f>ROUND($F$32-SUM(E38:E49),2)</f>
        <v>0</v>
      </c>
      <c r="F51" s="3" t="s">
        <v>7</v>
      </c>
      <c r="G51" s="84" t="str">
        <f>IF(E51&lt;-0.2,"Increase pool volume, or decrease total nb of cells in pool, or decrease % targeted for lowly-concentrated samples.","")</f>
        <v/>
      </c>
      <c r="H51" s="85"/>
      <c r="I51" s="85"/>
      <c r="J51" s="85"/>
      <c r="K51" s="85"/>
      <c r="L51" s="85"/>
      <c r="M51" s="85"/>
      <c r="N51" s="85"/>
      <c r="O51" s="85"/>
      <c r="P51" s="85"/>
      <c r="Q51" s="86"/>
    </row>
    <row r="52" spans="2:17" ht="12.75" customHeight="1" x14ac:dyDescent="0.25"/>
    <row r="53" spans="2:17" x14ac:dyDescent="0.25">
      <c r="B53" t="s">
        <v>18</v>
      </c>
    </row>
    <row r="54" spans="2:17" x14ac:dyDescent="0.25">
      <c r="B54" t="s">
        <v>19</v>
      </c>
    </row>
    <row r="55" spans="2:17" x14ac:dyDescent="0.25">
      <c r="B55" t="s">
        <v>79</v>
      </c>
    </row>
  </sheetData>
  <sheetProtection sheet="1" objects="1" scenarios="1"/>
  <mergeCells count="46">
    <mergeCell ref="I20:M20"/>
    <mergeCell ref="B22:P22"/>
    <mergeCell ref="B27:P27"/>
    <mergeCell ref="B35:P35"/>
    <mergeCell ref="B30:E30"/>
    <mergeCell ref="B31:E31"/>
    <mergeCell ref="B32:E32"/>
    <mergeCell ref="B33:E33"/>
    <mergeCell ref="H29:Q29"/>
    <mergeCell ref="H30:Q30"/>
    <mergeCell ref="H31:Q31"/>
    <mergeCell ref="H32:Q32"/>
    <mergeCell ref="H33:Q33"/>
    <mergeCell ref="C24:G24"/>
    <mergeCell ref="C25:G25"/>
    <mergeCell ref="S6:V6"/>
    <mergeCell ref="I12:M12"/>
    <mergeCell ref="I13:M13"/>
    <mergeCell ref="I14:M14"/>
    <mergeCell ref="I15:M15"/>
    <mergeCell ref="I7:M7"/>
    <mergeCell ref="I8:M8"/>
    <mergeCell ref="I9:M9"/>
    <mergeCell ref="I10:M10"/>
    <mergeCell ref="I11:M11"/>
    <mergeCell ref="I17:M17"/>
    <mergeCell ref="I18:M18"/>
    <mergeCell ref="I19:M19"/>
    <mergeCell ref="B5:P5"/>
    <mergeCell ref="I16:M16"/>
    <mergeCell ref="B3:Q3"/>
    <mergeCell ref="B1:G1"/>
    <mergeCell ref="G51:Q51"/>
    <mergeCell ref="G37:Q37"/>
    <mergeCell ref="G38:Q38"/>
    <mergeCell ref="G39:Q39"/>
    <mergeCell ref="G40:Q40"/>
    <mergeCell ref="G41:Q41"/>
    <mergeCell ref="G42:Q42"/>
    <mergeCell ref="G43:Q43"/>
    <mergeCell ref="G44:Q44"/>
    <mergeCell ref="G45:Q45"/>
    <mergeCell ref="G46:Q46"/>
    <mergeCell ref="G47:Q47"/>
    <mergeCell ref="G48:Q48"/>
    <mergeCell ref="G49:Q49"/>
  </mergeCells>
  <conditionalFormatting sqref="E8:E19">
    <cfRule type="cellIs" dxfId="2" priority="2" operator="between">
      <formula>0.001</formula>
      <formula>4.999</formula>
    </cfRule>
  </conditionalFormatting>
  <conditionalFormatting sqref="E51">
    <cfRule type="cellIs" dxfId="1" priority="1" operator="between">
      <formula>-0.099999</formula>
      <formula>0</formula>
    </cfRule>
    <cfRule type="cellIs" dxfId="0" priority="8" operator="lessThan">
      <formula>-0.1</formula>
    </cfRule>
  </conditionalFormatting>
  <pageMargins left="0.7" right="0.7" top="0.75" bottom="0.75" header="0.3" footer="0.3"/>
  <pageSetup orientation="portrait" horizontalDpi="4294967294"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03E2A-9429-401E-A12B-7DBDA1C057D9}">
  <dimension ref="A2:Q18"/>
  <sheetViews>
    <sheetView zoomScale="85" zoomScaleNormal="85" workbookViewId="0">
      <selection activeCell="I50" sqref="I50"/>
    </sheetView>
  </sheetViews>
  <sheetFormatPr defaultRowHeight="15" x14ac:dyDescent="0.25"/>
  <cols>
    <col min="1" max="1" width="29" customWidth="1"/>
    <col min="2" max="2" width="5.7109375" customWidth="1"/>
    <col min="4" max="4" width="19.42578125" customWidth="1"/>
    <col min="5" max="5" width="16.28515625" customWidth="1"/>
    <col min="7" max="7" width="20.5703125" customWidth="1"/>
    <col min="8" max="8" width="23.140625" customWidth="1"/>
    <col min="9" max="9" width="13.5703125" customWidth="1"/>
    <col min="10" max="10" width="12.7109375" customWidth="1"/>
    <col min="11" max="11" width="13.7109375" customWidth="1"/>
  </cols>
  <sheetData>
    <row r="2" spans="1:14" s="64" customFormat="1" ht="64.5" x14ac:dyDescent="0.25">
      <c r="A2" s="14" t="s">
        <v>49</v>
      </c>
      <c r="B2" s="48"/>
      <c r="C2" s="66" t="s">
        <v>48</v>
      </c>
      <c r="D2" s="66" t="s">
        <v>47</v>
      </c>
      <c r="E2" s="66" t="s">
        <v>46</v>
      </c>
      <c r="F2" s="65"/>
      <c r="G2" s="118" t="s">
        <v>45</v>
      </c>
      <c r="H2" s="118"/>
      <c r="I2" s="65"/>
      <c r="J2" s="65"/>
      <c r="K2" s="65"/>
      <c r="L2" s="65"/>
      <c r="M2" s="65"/>
      <c r="N2" s="65"/>
    </row>
    <row r="3" spans="1:14" x14ac:dyDescent="0.25">
      <c r="A3" s="14" t="s">
        <v>44</v>
      </c>
      <c r="B3" s="48"/>
      <c r="C3" s="63">
        <v>40000</v>
      </c>
      <c r="D3" s="44">
        <f>C3*0.8/1000</f>
        <v>32</v>
      </c>
      <c r="E3" s="52">
        <f>C3*0.4/1000</f>
        <v>16</v>
      </c>
      <c r="F3" s="49"/>
      <c r="G3" s="62" t="s">
        <v>43</v>
      </c>
      <c r="H3" s="62" t="s">
        <v>42</v>
      </c>
      <c r="I3" s="49"/>
      <c r="J3" s="61" t="s">
        <v>41</v>
      </c>
      <c r="K3" s="49"/>
      <c r="L3" s="49"/>
      <c r="M3" s="49"/>
      <c r="N3" s="49"/>
    </row>
    <row r="4" spans="1:14" ht="45" x14ac:dyDescent="0.25">
      <c r="A4" s="14" t="s">
        <v>40</v>
      </c>
      <c r="B4" s="48"/>
      <c r="C4" s="53">
        <v>42000</v>
      </c>
      <c r="D4" s="44">
        <f>C4*0.8/1000</f>
        <v>33.6</v>
      </c>
      <c r="E4" s="52">
        <f>C4*0.4/1000</f>
        <v>16.8</v>
      </c>
      <c r="F4" s="49"/>
      <c r="G4" s="44">
        <v>2</v>
      </c>
      <c r="H4" s="44">
        <v>50</v>
      </c>
      <c r="I4" s="49"/>
      <c r="J4" s="60">
        <f>100-(100/G4)</f>
        <v>50</v>
      </c>
      <c r="K4" s="49"/>
      <c r="L4" s="49"/>
      <c r="M4" s="49"/>
      <c r="N4" s="49"/>
    </row>
    <row r="5" spans="1:14" x14ac:dyDescent="0.25">
      <c r="A5" s="14"/>
      <c r="B5" s="43"/>
      <c r="C5" s="53">
        <v>45000</v>
      </c>
      <c r="D5" s="44">
        <f>C5*0.8/1000</f>
        <v>36</v>
      </c>
      <c r="E5" s="52">
        <f>C5*0.4/1000</f>
        <v>18</v>
      </c>
      <c r="F5" s="49"/>
      <c r="G5" s="44">
        <v>4</v>
      </c>
      <c r="H5" s="44">
        <v>75</v>
      </c>
      <c r="I5" s="49"/>
      <c r="J5" s="60">
        <f>100-(100/G5)</f>
        <v>75</v>
      </c>
      <c r="K5" s="49"/>
      <c r="L5" s="49"/>
      <c r="M5" s="49"/>
      <c r="N5" s="49"/>
    </row>
    <row r="6" spans="1:14" x14ac:dyDescent="0.25">
      <c r="A6" s="14"/>
      <c r="B6" s="48"/>
      <c r="C6" s="53">
        <v>47000</v>
      </c>
      <c r="D6" s="44">
        <f>C6*0.8/1000</f>
        <v>37.6</v>
      </c>
      <c r="E6" s="52">
        <f>C6*0.4/1000</f>
        <v>18.8</v>
      </c>
      <c r="F6" s="49"/>
      <c r="G6" s="44">
        <v>8</v>
      </c>
      <c r="H6" s="44">
        <v>87.5</v>
      </c>
      <c r="I6" s="49"/>
      <c r="J6" s="60">
        <f>100-(100/G6)</f>
        <v>87.5</v>
      </c>
      <c r="K6" s="49"/>
      <c r="L6" s="49"/>
      <c r="M6" s="49"/>
      <c r="N6" s="49"/>
    </row>
    <row r="7" spans="1:14" x14ac:dyDescent="0.25">
      <c r="A7" s="58"/>
      <c r="B7" s="48"/>
      <c r="C7" s="53">
        <v>50000</v>
      </c>
      <c r="D7" s="44">
        <f>C7*0.8/1000</f>
        <v>40</v>
      </c>
      <c r="E7" s="52">
        <f>C7*0.4/1000</f>
        <v>20</v>
      </c>
      <c r="F7" s="49"/>
      <c r="G7" s="44">
        <v>12</v>
      </c>
      <c r="H7" s="44">
        <v>91.5</v>
      </c>
      <c r="I7" s="49"/>
      <c r="J7" s="60">
        <f>100-(100/G7)</f>
        <v>91.666666666666671</v>
      </c>
      <c r="K7" s="49"/>
      <c r="L7" s="49"/>
      <c r="M7" s="49"/>
      <c r="N7" s="49"/>
    </row>
    <row r="8" spans="1:14" x14ac:dyDescent="0.25">
      <c r="A8" s="58"/>
      <c r="B8" s="48"/>
      <c r="C8" s="48"/>
      <c r="D8" s="49"/>
      <c r="E8" s="49"/>
      <c r="F8" s="49"/>
      <c r="G8" s="49"/>
      <c r="H8" s="49"/>
      <c r="I8" s="49"/>
      <c r="J8" s="49"/>
      <c r="K8" s="49"/>
      <c r="L8" s="49"/>
      <c r="M8" s="49"/>
      <c r="N8" s="49"/>
    </row>
    <row r="9" spans="1:14" x14ac:dyDescent="0.25">
      <c r="A9" s="58"/>
      <c r="B9" s="48"/>
      <c r="E9" s="49"/>
      <c r="F9" s="49"/>
      <c r="G9" s="49"/>
      <c r="H9" s="49"/>
      <c r="I9" s="49"/>
      <c r="J9" s="49"/>
      <c r="K9" s="49"/>
      <c r="L9" s="49"/>
      <c r="M9" s="49"/>
      <c r="N9" s="49"/>
    </row>
    <row r="10" spans="1:14" ht="59.25" customHeight="1" x14ac:dyDescent="0.25">
      <c r="A10" s="58"/>
      <c r="B10" s="48"/>
      <c r="C10" s="119" t="s">
        <v>39</v>
      </c>
      <c r="D10" s="119"/>
      <c r="E10" s="119"/>
      <c r="F10" s="49"/>
      <c r="G10" s="49"/>
      <c r="H10" s="49"/>
      <c r="I10" s="119" t="s">
        <v>38</v>
      </c>
      <c r="J10" s="119"/>
      <c r="K10" s="119"/>
    </row>
    <row r="11" spans="1:14" ht="30" x14ac:dyDescent="0.25">
      <c r="A11" s="58"/>
      <c r="B11" s="48"/>
      <c r="C11" s="59" t="s">
        <v>36</v>
      </c>
      <c r="D11" s="7" t="s">
        <v>35</v>
      </c>
      <c r="E11" s="59" t="s">
        <v>34</v>
      </c>
      <c r="F11" s="49"/>
      <c r="G11" s="49" t="s">
        <v>37</v>
      </c>
      <c r="H11" s="49"/>
      <c r="I11" s="59" t="s">
        <v>36</v>
      </c>
      <c r="J11" s="7" t="s">
        <v>35</v>
      </c>
      <c r="K11" s="59" t="s">
        <v>34</v>
      </c>
    </row>
    <row r="12" spans="1:14" x14ac:dyDescent="0.25">
      <c r="A12" s="58"/>
      <c r="B12" s="48"/>
      <c r="C12" s="53">
        <v>500</v>
      </c>
      <c r="D12" s="53">
        <v>2500</v>
      </c>
      <c r="E12" s="52">
        <v>2</v>
      </c>
      <c r="F12" s="49"/>
      <c r="G12" s="49" t="s">
        <v>33</v>
      </c>
      <c r="H12" s="49"/>
      <c r="I12" s="53">
        <v>1000</v>
      </c>
      <c r="J12" s="53">
        <v>5000</v>
      </c>
      <c r="K12" s="52">
        <v>2</v>
      </c>
    </row>
    <row r="13" spans="1:14" x14ac:dyDescent="0.25">
      <c r="A13" s="58"/>
      <c r="B13" s="48"/>
      <c r="C13" s="53">
        <v>2500</v>
      </c>
      <c r="D13" s="53">
        <v>10000</v>
      </c>
      <c r="E13" s="57" t="s">
        <v>31</v>
      </c>
      <c r="F13" s="49"/>
      <c r="G13" s="49" t="s">
        <v>32</v>
      </c>
      <c r="H13" s="49"/>
      <c r="I13" s="53">
        <v>5000</v>
      </c>
      <c r="J13" s="53">
        <v>20000</v>
      </c>
      <c r="K13" s="57" t="s">
        <v>31</v>
      </c>
    </row>
    <row r="14" spans="1:14" x14ac:dyDescent="0.25">
      <c r="A14" s="14"/>
      <c r="B14" s="48"/>
      <c r="C14" s="53">
        <v>10000</v>
      </c>
      <c r="D14" s="53">
        <v>20000</v>
      </c>
      <c r="E14" s="56" t="s">
        <v>30</v>
      </c>
      <c r="F14" s="49"/>
      <c r="G14" s="49"/>
      <c r="H14" s="49"/>
      <c r="I14" s="53">
        <v>20000</v>
      </c>
      <c r="J14" s="53">
        <v>40000</v>
      </c>
      <c r="K14" s="56" t="s">
        <v>30</v>
      </c>
    </row>
    <row r="15" spans="1:14" x14ac:dyDescent="0.25">
      <c r="A15" s="14"/>
      <c r="B15" s="48"/>
      <c r="C15" s="53">
        <v>20000</v>
      </c>
      <c r="D15" s="53">
        <v>30000</v>
      </c>
      <c r="E15" s="56" t="s">
        <v>29</v>
      </c>
      <c r="F15" s="49"/>
      <c r="G15" s="49"/>
      <c r="H15" s="49"/>
      <c r="I15" s="55">
        <v>40000</v>
      </c>
      <c r="J15" s="55">
        <v>60000</v>
      </c>
      <c r="K15" s="54" t="s">
        <v>29</v>
      </c>
    </row>
    <row r="16" spans="1:14" x14ac:dyDescent="0.25">
      <c r="A16" s="14"/>
      <c r="B16" s="48"/>
      <c r="C16" s="53">
        <v>30000</v>
      </c>
      <c r="D16" s="53">
        <v>60000</v>
      </c>
      <c r="E16" s="52">
        <v>12</v>
      </c>
      <c r="F16" s="49"/>
      <c r="G16" s="49"/>
      <c r="H16" s="49"/>
      <c r="I16" s="51">
        <v>60000</v>
      </c>
      <c r="J16" s="51">
        <v>120000</v>
      </c>
      <c r="K16" s="50">
        <v>12</v>
      </c>
    </row>
    <row r="17" spans="1:17" x14ac:dyDescent="0.25">
      <c r="A17" s="14"/>
      <c r="B17" s="48"/>
      <c r="C17" s="49"/>
      <c r="D17" s="49"/>
      <c r="E17" s="49"/>
      <c r="F17" s="49"/>
      <c r="G17" s="49"/>
      <c r="H17" s="49"/>
      <c r="I17" s="49"/>
      <c r="J17" s="49"/>
      <c r="K17" s="49"/>
      <c r="L17" s="49"/>
      <c r="M17" s="49"/>
      <c r="N17" s="49"/>
    </row>
    <row r="18" spans="1:17" x14ac:dyDescent="0.25">
      <c r="A18" s="14"/>
      <c r="B18" s="48"/>
      <c r="M18" s="49"/>
      <c r="N18" s="49"/>
      <c r="O18" s="49"/>
      <c r="P18" s="49"/>
      <c r="Q18" s="49"/>
    </row>
  </sheetData>
  <mergeCells count="3">
    <mergeCell ref="G2:H2"/>
    <mergeCell ref="C10:E10"/>
    <mergeCell ref="I10:K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1.Determine targeted nb</vt:lpstr>
      <vt:lpstr>2.Design pool</vt:lpstr>
      <vt:lpstr>Appendix (for GECF)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Bastien Mangeat</dc:creator>
  <cp:keywords/>
  <dc:description/>
  <cp:lastModifiedBy>Bastien Mangeat</cp:lastModifiedBy>
  <cp:revision/>
  <dcterms:created xsi:type="dcterms:W3CDTF">2022-05-19T16:35:12Z</dcterms:created>
  <dcterms:modified xsi:type="dcterms:W3CDTF">2025-06-24T19:17:26Z</dcterms:modified>
  <cp:category/>
  <cp:contentStatus/>
</cp:coreProperties>
</file>