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C:\Users\racine\Documents\New_CMiSynchro\Resu_published\WEB\"/>
    </mc:Choice>
  </mc:AlternateContent>
  <xr:revisionPtr revIDLastSave="0" documentId="8_{808C8248-D9FF-4A2B-A259-408C1A8A1EA4}" xr6:coauthVersionLast="36" xr6:coauthVersionMax="36" xr10:uidLastSave="{00000000-0000-0000-0000-000000000000}"/>
  <bookViews>
    <workbookView xWindow="0" yWindow="0" windowWidth="22935" windowHeight="8850" tabRatio="851" firstSheet="4" activeTab="4" xr2:uid="{00000000-000D-0000-FFFF-FFFF00000000}"/>
  </bookViews>
  <sheets>
    <sheet name="Home" sheetId="23" r:id="rId1"/>
    <sheet name="Z01 MR Summary" sheetId="33" state="hidden" r:id="rId2"/>
    <sheet name="Gersteltec GM Summary" sheetId="20" r:id="rId3"/>
    <sheet name="Gersteltec GM Runcard" sheetId="19" r:id="rId4"/>
    <sheet name="MicroChem 3000 Summary" sheetId="26" r:id="rId5"/>
    <sheet name="MR Runcard" sheetId="35" state="hidden" r:id="rId6"/>
    <sheet name="MicroChem 3000 Runcard" sheetId="30" r:id="rId7"/>
    <sheet name="Spin graph" sheetId="3" r:id="rId8"/>
    <sheet name="Results mr-DWL-40" sheetId="36" state="hidden" r:id="rId9"/>
    <sheet name="Results mr-DWL-5" sheetId="34" state="hidden" r:id="rId10"/>
    <sheet name="Results Su8 3005" sheetId="27" r:id="rId11"/>
    <sheet name="Results Su8 3010" sheetId="28" r:id="rId12"/>
    <sheet name="Results Su8 3025" sheetId="31" r:id="rId13"/>
    <sheet name="Results Su8 3035" sheetId="29" r:id="rId14"/>
    <sheet name="Results Su8 3050" sheetId="32" r:id="rId15"/>
    <sheet name="Results GM 1040" sheetId="4" state="hidden" r:id="rId16"/>
    <sheet name="Results GM 1050" sheetId="7" state="hidden" r:id="rId17"/>
    <sheet name="Results GM 1060" sheetId="10" state="hidden" r:id="rId18"/>
    <sheet name="Results GM 1070" sheetId="13" state="hidden" r:id="rId19"/>
    <sheet name="Results GM 1075" sheetId="16" state="hidden" r:id="rId20"/>
    <sheet name="Troubleshoot" sheetId="22" r:id="rId21"/>
  </sheets>
  <definedNames>
    <definedName name="Liste_Equipement">'Gersteltec GM Summary'!$L$10:$L$13</definedName>
    <definedName name="Liste_Equipement2">'MicroChem 3000 Summary'!$K$10:$K$13</definedName>
  </definedNames>
  <calcPr calcId="191029"/>
  <webPublishObjects count="1">
    <webPublishObject id="29768" divId="Runcard_SU8_Z13_V2012_1_29768" destinationFile="C:\Users\racine\Documents\CMI_synchro\Docs en suspent\Runcard_SU8_Z13_V2012_1.mht" title="SAWATEC_Z13_ProcessSU8"/>
  </webPublishObjects>
</workbook>
</file>

<file path=xl/calcChain.xml><?xml version="1.0" encoding="utf-8"?>
<calcChain xmlns="http://schemas.openxmlformats.org/spreadsheetml/2006/main">
  <c r="F27" i="20" l="1"/>
  <c r="G27" i="20" l="1"/>
  <c r="A13" i="19"/>
  <c r="A8" i="19"/>
  <c r="F27" i="26"/>
  <c r="G27" i="26" s="1"/>
  <c r="E28" i="26" l="1"/>
  <c r="B12" i="16"/>
  <c r="B12" i="13"/>
  <c r="B12" i="10"/>
  <c r="B12" i="4"/>
  <c r="B12" i="7"/>
  <c r="D12" i="7" s="1"/>
  <c r="D11" i="4" l="1"/>
  <c r="D12" i="4"/>
  <c r="E28" i="20"/>
  <c r="A15" i="35" l="1"/>
  <c r="A14" i="35"/>
  <c r="A13" i="35"/>
  <c r="A12" i="35"/>
  <c r="A11" i="35"/>
  <c r="A10" i="35"/>
  <c r="A9" i="35"/>
  <c r="A8" i="35"/>
  <c r="A33" i="35"/>
  <c r="A28" i="35"/>
  <c r="A23" i="35"/>
  <c r="A32" i="30"/>
  <c r="A27" i="30"/>
  <c r="A22" i="30"/>
  <c r="B13" i="36"/>
  <c r="G13" i="36" s="1"/>
  <c r="A7" i="35"/>
  <c r="A6" i="35"/>
  <c r="A5" i="35"/>
  <c r="B13" i="34"/>
  <c r="G13" i="34" s="1"/>
  <c r="F13" i="34" l="1"/>
  <c r="D13" i="34"/>
  <c r="D13" i="36"/>
  <c r="F13" i="36"/>
  <c r="E13" i="36"/>
  <c r="C13" i="36"/>
  <c r="C13" i="34"/>
  <c r="E13" i="34"/>
  <c r="B13" i="32"/>
  <c r="D13" i="32" s="1"/>
  <c r="B13" i="31"/>
  <c r="D13" i="31" s="1"/>
  <c r="A14" i="30"/>
  <c r="A13" i="30"/>
  <c r="A12" i="30"/>
  <c r="A11" i="30"/>
  <c r="A10" i="30"/>
  <c r="A9" i="30"/>
  <c r="A8" i="30"/>
  <c r="A7" i="30"/>
  <c r="A6" i="30"/>
  <c r="A5" i="30"/>
  <c r="B13" i="29"/>
  <c r="D13" i="29" s="1"/>
  <c r="B13" i="28"/>
  <c r="D13" i="28" s="1"/>
  <c r="B13" i="27"/>
  <c r="E13" i="27" s="1"/>
  <c r="G41" i="33" l="1"/>
  <c r="G33" i="33"/>
  <c r="G37" i="33"/>
  <c r="F41" i="33"/>
  <c r="F37" i="33"/>
  <c r="F18" i="33"/>
  <c r="F33" i="33"/>
  <c r="G18" i="33"/>
  <c r="G27" i="33"/>
  <c r="G13" i="32"/>
  <c r="G13" i="29"/>
  <c r="G13" i="31"/>
  <c r="G13" i="28"/>
  <c r="G13" i="27"/>
  <c r="F13" i="27"/>
  <c r="F13" i="28"/>
  <c r="F13" i="31"/>
  <c r="F13" i="29"/>
  <c r="E13" i="32"/>
  <c r="F13" i="32"/>
  <c r="E13" i="29"/>
  <c r="E13" i="28"/>
  <c r="E13" i="31"/>
  <c r="D13" i="27"/>
  <c r="C13" i="32"/>
  <c r="C13" i="29"/>
  <c r="C13" i="31"/>
  <c r="C13" i="28"/>
  <c r="G29" i="26" s="1"/>
  <c r="C13" i="27"/>
  <c r="F29" i="26" s="1"/>
  <c r="E4" i="13"/>
  <c r="E3" i="13"/>
  <c r="E4" i="10"/>
  <c r="E3" i="10"/>
  <c r="I24" i="26" l="1"/>
  <c r="G38" i="26"/>
  <c r="G34" i="26"/>
  <c r="G20" i="26"/>
  <c r="G24" i="26"/>
  <c r="H24" i="26"/>
  <c r="H38" i="26"/>
  <c r="H34" i="26"/>
  <c r="H20" i="26"/>
  <c r="F38" i="26"/>
  <c r="F34" i="26"/>
  <c r="F20" i="26"/>
  <c r="F24" i="26"/>
  <c r="I34" i="26"/>
  <c r="I20" i="26"/>
  <c r="I38" i="26"/>
  <c r="H29" i="26"/>
  <c r="I29" i="26"/>
  <c r="A16" i="19" l="1"/>
  <c r="A15" i="19"/>
  <c r="A14" i="19"/>
  <c r="A11" i="19"/>
  <c r="A9" i="19"/>
  <c r="A6" i="19"/>
  <c r="A7" i="19"/>
  <c r="J24" i="20" l="1"/>
  <c r="B11" i="16" l="1"/>
  <c r="D12" i="13"/>
  <c r="B11" i="13"/>
  <c r="D11" i="13" s="1"/>
  <c r="B11" i="10"/>
  <c r="D11" i="10" s="1"/>
  <c r="D12" i="16" l="1"/>
  <c r="D11" i="16"/>
  <c r="C12" i="16"/>
  <c r="C11" i="16"/>
  <c r="J29" i="20" s="1"/>
  <c r="C12" i="10"/>
  <c r="D12" i="10"/>
  <c r="C11" i="10"/>
  <c r="H29" i="20" s="1"/>
  <c r="C12" i="7"/>
  <c r="C12" i="13"/>
  <c r="B11" i="7"/>
  <c r="D11" i="7" s="1"/>
  <c r="B11" i="4"/>
  <c r="C11" i="7" l="1"/>
  <c r="G29" i="20" s="1"/>
  <c r="C11" i="4"/>
  <c r="F29" i="20" s="1"/>
  <c r="C12" i="4"/>
  <c r="A33" i="19"/>
  <c r="A29" i="19"/>
  <c r="A24" i="19"/>
  <c r="A5" i="19"/>
  <c r="F20" i="20" l="1"/>
  <c r="C11" i="13" l="1"/>
  <c r="J20" i="20"/>
  <c r="I20" i="20" l="1"/>
  <c r="I29" i="20"/>
  <c r="H20" i="20"/>
  <c r="G20" i="20"/>
</calcChain>
</file>

<file path=xl/sharedStrings.xml><?xml version="1.0" encoding="utf-8"?>
<sst xmlns="http://schemas.openxmlformats.org/spreadsheetml/2006/main" count="583" uniqueCount="245">
  <si>
    <t>Wafer Prep</t>
  </si>
  <si>
    <t>GM 1040</t>
  </si>
  <si>
    <t>GM 1050</t>
  </si>
  <si>
    <t>GM 1060</t>
  </si>
  <si>
    <t>GM 1070</t>
  </si>
  <si>
    <t>GM 1075</t>
  </si>
  <si>
    <t>Spin Coat</t>
  </si>
  <si>
    <t>Velocity profile</t>
  </si>
  <si>
    <t>[rpm]</t>
  </si>
  <si>
    <t>Soft Bake</t>
  </si>
  <si>
    <t>Exposure dose</t>
  </si>
  <si>
    <t>Expose</t>
  </si>
  <si>
    <r>
      <t>[mJ/cm</t>
    </r>
    <r>
      <rPr>
        <vertAlign val="superscript"/>
        <sz val="10"/>
        <rFont val="Arial"/>
        <family val="2"/>
      </rPr>
      <t>2</t>
    </r>
    <r>
      <rPr>
        <sz val="10"/>
        <rFont val="Arial"/>
        <family val="2"/>
      </rPr>
      <t>]</t>
    </r>
  </si>
  <si>
    <t>Post Exposure Bake</t>
  </si>
  <si>
    <t>Develop</t>
  </si>
  <si>
    <t>(Optional) Hard Bake</t>
  </si>
  <si>
    <t>Step N°</t>
  </si>
  <si>
    <t>Description</t>
  </si>
  <si>
    <t>Equipment</t>
  </si>
  <si>
    <t>Program / Parameters</t>
  </si>
  <si>
    <t>Remarks</t>
  </si>
  <si>
    <t>X</t>
  </si>
  <si>
    <t>PHOTOLITHOGRAPHY</t>
  </si>
  <si>
    <t>Wafer preparation</t>
  </si>
  <si>
    <t>*</t>
  </si>
  <si>
    <t>Coating</t>
  </si>
  <si>
    <t>Softbake</t>
  </si>
  <si>
    <t>Post-exposure bake</t>
  </si>
  <si>
    <t>Z13 / Wet Bench Solvent</t>
  </si>
  <si>
    <t>PGMEA development in two separate baths</t>
  </si>
  <si>
    <t>Rinse</t>
  </si>
  <si>
    <t>Isopropanol</t>
  </si>
  <si>
    <t>1 min</t>
  </si>
  <si>
    <t>Inspection</t>
  </si>
  <si>
    <t>Z13 / uScope</t>
  </si>
  <si>
    <t>Si and any other material not listed below</t>
  </si>
  <si>
    <t>Prog. 5</t>
  </si>
  <si>
    <t>7 min</t>
  </si>
  <si>
    <t>Metallic layers (in case the oxydation of the metallic layer may be a problem)</t>
  </si>
  <si>
    <t>Only dehydration
No HMDS !!!</t>
  </si>
  <si>
    <t>Pyrex or Float glass</t>
  </si>
  <si>
    <t>Highly recommended
7 min</t>
  </si>
  <si>
    <t>x</t>
  </si>
  <si>
    <t>y</t>
  </si>
  <si>
    <t>Spin speed
[rpm]</t>
  </si>
  <si>
    <t>Film Thickness
[um]</t>
  </si>
  <si>
    <r>
      <t>Typical exposure dose
[mJ/cm</t>
    </r>
    <r>
      <rPr>
        <vertAlign val="superscript"/>
        <sz val="10"/>
        <rFont val="Arial"/>
        <family val="2"/>
      </rPr>
      <t>2</t>
    </r>
    <r>
      <rPr>
        <sz val="10"/>
        <rFont val="Arial"/>
        <family val="2"/>
      </rPr>
      <t>]</t>
    </r>
  </si>
  <si>
    <t>Z13 / MJB4</t>
  </si>
  <si>
    <t>Z13 Sawatec LSM250</t>
  </si>
  <si>
    <t>Zone 01</t>
  </si>
  <si>
    <t>Zone 13</t>
  </si>
  <si>
    <t>MJB4</t>
  </si>
  <si>
    <t>Home</t>
  </si>
  <si>
    <t>a) Enter targeted thickness [µm]:</t>
  </si>
  <si>
    <t>Spin speed</t>
  </si>
  <si>
    <t>b) Available product: choose from the rows marked with green</t>
  </si>
  <si>
    <t>c) Use parameters from table</t>
  </si>
  <si>
    <t>Relaxation time for better uniformity</t>
  </si>
  <si>
    <t>Exposure</t>
  </si>
  <si>
    <t>1040: 1 min.
1050: 2-5 min.
1060: 5-20 min.
1070: 20-45 min.
1075: 30-60 min.</t>
  </si>
  <si>
    <t>* Necessary preparation depends on the substrate; see table below.</t>
  </si>
  <si>
    <t>Ramp time [min]</t>
  </si>
  <si>
    <t>Step time [min]</t>
  </si>
  <si>
    <t>Segment 1: Time: 10 s / Temp.: 30°C
Base Temp.: 30°C / Vaccum : ON / N2: ON
Segment 2: Time: X s / Temp.: 130°C
End segment: OFF / Vaccum : OFF / N2: ON                                                                                                                                                            
Segment 3: Time: Y s / Temp.: 130°C
End segment: OFF / Vaccum : OFF / N2: ON
Segment 4: Time: X s / Temp.: 30°C
End segment: ON / Vaccum : OFF / N2: ON
Segment 5 -&gt; 24: NO INFLUENCE</t>
  </si>
  <si>
    <t>X is the ramp from 30°C to 130°C in seconds. Ramp time depends on material type:
1040: 1200 s
1050: 1500 s
1060: 1800 s
1070: 3000 s
1075: 3000 s
Y is the baking step time. For a thickness more than 150 µm use 600 s, otherwise use 300 s.</t>
  </si>
  <si>
    <t>Develop time [min]</t>
  </si>
  <si>
    <t>a) Enter targeted thickness [µm]</t>
  </si>
  <si>
    <t>* See below</t>
  </si>
  <si>
    <t xml:space="preserve">* </t>
  </si>
  <si>
    <t>Note: development upside down is highly recommended. Use two beakers for proper rinsing of substrate. Time in PGMEA should be minimized.</t>
  </si>
  <si>
    <t>Note: recommended dose is for general use on Si substrates. For high aspect ratio, decrease dose with up to 15%. For stress sensitive large areas, increase dose with up to 15%. For float glass substrates, increase dose with 40%.</t>
  </si>
  <si>
    <t xml:space="preserve">Note: For a thickness more than 150 µm, the softbake step time is doubled. </t>
  </si>
  <si>
    <t xml:space="preserve">Segment 1: Ramp time: X min
Temp.: Z °C; Step time: Y min
Segment 2: Ramp ime: 90 min
Temp.: 30°C; Step time: 0 min
Segment 3 -&gt; 5: NO INFLUENCE
</t>
  </si>
  <si>
    <t>Relaxation delay</t>
  </si>
  <si>
    <t>Wafer storage box</t>
  </si>
  <si>
    <t>From one hour to overnight, depending on thickness</t>
  </si>
  <si>
    <t>Check for residues, resolution and alignment</t>
  </si>
  <si>
    <t>Development</t>
  </si>
  <si>
    <t>Segment 1: Time: 5s / Speed: 500rpm
Segment 2: Time: 5s / Speed: 500rpm
Segment 3: Time: ((X-500)/100)s / Speed: Xrpm
Segment 4: Time: 40s / Speed: Xrpm
Segment 5: Time: 1s / Speed: X+1000rpm
Segment 6: Time: 1s / Speed: Xrpm
Segment 7: Time: 5s / Speed: Xrpm
Segment 8: Time: (X/100)s / Speed: 0rpm
Segment 9 -&gt; 24: Time: 0s / Speed: 0rpm</t>
  </si>
  <si>
    <t>Load on hotplate as coating is finished. Place a cleanroom paper under the wafers.
Choose relaxation time based on thickness. Make sure hotplate is at 30°C standby.</t>
  </si>
  <si>
    <r>
      <t>Exposure dose
[mJ/cm</t>
    </r>
    <r>
      <rPr>
        <b/>
        <vertAlign val="superscript"/>
        <sz val="10"/>
        <rFont val="Arial"/>
        <family val="2"/>
      </rPr>
      <t>2</t>
    </r>
    <r>
      <rPr>
        <b/>
        <sz val="10"/>
        <rFont val="Arial"/>
        <family val="2"/>
      </rPr>
      <t>]</t>
    </r>
  </si>
  <si>
    <t>Target thickness
[um]</t>
  </si>
  <si>
    <t>Type</t>
  </si>
  <si>
    <t>Solution</t>
  </si>
  <si>
    <t>Example</t>
  </si>
  <si>
    <t>Overdevelopment</t>
  </si>
  <si>
    <t>A brighter than normal, white lining can be seen close to structure edges. This happens as the development time is longer than necessary, and the PGMEA gently undercuts the material.</t>
  </si>
  <si>
    <t>Cracks (insufficient polymerization)</t>
  </si>
  <si>
    <t>Delamination (over polymerization)</t>
  </si>
  <si>
    <t>Underexposure</t>
  </si>
  <si>
    <t>Overexposure</t>
  </si>
  <si>
    <t>Stress fringes, or complete separation from substrate is seen in certain areas of the layout. Structures floating or partially sticking to the substrate can be seen within the developer. If the polymerization of the material is excessive, the material densifies and internal stress builds up, resulting in a force enough for separation from the substrate.</t>
  </si>
  <si>
    <t>Decrease polymerization by any of the following: 
- Decrease exposure dose (recommended) 
- Decrease PEB temperature</t>
  </si>
  <si>
    <t xml:space="preserve">Enhance polymerization by any of the following:
 - Increase exposure dose (recommended)
 - Increase PEB temperature </t>
  </si>
  <si>
    <t>Decrease development time.</t>
  </si>
  <si>
    <t>A wide, significant amount of undercut appears at every edge, independent of layout. This happens due to insufficient polymerization close to the substrate surface, and the developer washes out the partially exposed material at a higher rate.</t>
  </si>
  <si>
    <t>In high aspect ratio openings within the material, bridging or remaining material appears close to the substrate surface. Instead of parallel sidewalls, a U shape cross-section is seen. Corners are more rounded than expected, filled with residues.</t>
  </si>
  <si>
    <t>Increase exposure dose. 
Note that increasing the PEB temperature does not solve this problem.</t>
  </si>
  <si>
    <t>Troubleshooting guidelines</t>
  </si>
  <si>
    <t>Note: for Si substrates, set PEB at 90C. For float glass, set to 85C. Place a single sheet of cleanroom paper under the substrate for better heat uniformity.</t>
  </si>
  <si>
    <r>
      <rPr>
        <b/>
        <sz val="10"/>
        <rFont val="Arial"/>
        <family val="2"/>
      </rPr>
      <t xml:space="preserve">Note: This guide assumes the following
</t>
    </r>
    <r>
      <rPr>
        <sz val="10"/>
        <rFont val="Arial"/>
        <family val="2"/>
      </rPr>
      <t xml:space="preserve">- Gerseltec GM 10xx series SU8 is used
- New, clean substrates are used
- Surface preparation, coating and softbake were done according to process flow
- Relaxation was applied before softbake
- Exposed in soft contact mode
- PEB was done according to process flow, with cleanroom paper under substrate
- Relaxation was applied before development
- Developed in two separate PGMEA baths, substrate upside down, no agitation
- Rinsed with IPA, and dried with a nitrogen gun
</t>
    </r>
  </si>
  <si>
    <t>Development time:
1040: 0.5 + 0.5 min
1050 1 + 0.5 min
1060: 1 + 1 min
1070: 2 + 1 min
1075: 3 + 2 min
The necessary time might be longer - if a reaction is visible within isopropanol (white residues appear), return to PGMEA for 1 min. Repeat until isopropanol does not react with dissolved SU8 residues.</t>
  </si>
  <si>
    <r>
      <rPr>
        <b/>
        <sz val="10"/>
        <rFont val="Arial"/>
        <family val="2"/>
      </rPr>
      <t>Note: General model for troubleshooting</t>
    </r>
    <r>
      <rPr>
        <sz val="10"/>
        <rFont val="Arial"/>
        <family val="2"/>
      </rPr>
      <t xml:space="preserve">
SU8, a negative photosensitive material, consists of long polymer chains, which can be broken down to smaller pieces. This is done by exposure to UV light or e-beam. 
The post-exposure bake (PEB) step densifies the broken chains, making it more resistant to development. The exposed material remains, and the unexposed is washed away by the developer. 
The combination of the exposure and the PEB will determine the rate of polymerization, achievable resolution, aspect ratio, and the quality of the film.
The exposure dose is recommended to calibrate first, followed by the PEB temperature.  
The development duration should always be minimized. Two separate baths allow proper rinsing, useful for thick layers. Development upside down allows significantly faster development rates.</t>
    </r>
  </si>
  <si>
    <t>In large exposed areas of SU8, random cracks appear within the material. This happens as the polymerization process has not reached an adequate level to create a smooth and uniform layer.</t>
  </si>
  <si>
    <t xml:space="preserve">Segment 1: Time: 10 s / Temp.: 30°C
Base Temp.: 30°C / Vaccum : ON
Segment 2: Time: X s / Temp.: Z °C
End segment: OFF / Vaccum : OFF                                                                                                                                                            
Segment 3: Time: Y s / Temp.: Z °C
End segment: OFF / Vaccum : OFF
Segment 4: Time: 2700 s / Temp.: 60 °C
End segment: OFF / Vaccum : OFF
Segment 5: Time: 2700 s / Temp.: 30°C
End segment: ON / Vaccum : OFF
Segment 6 -&gt; 24: NO INFLUENCE
</t>
  </si>
  <si>
    <t>Microchem (MCC)</t>
  </si>
  <si>
    <t>GM 1000 series</t>
  </si>
  <si>
    <t>Step time @ 95°C [min]</t>
  </si>
  <si>
    <t>MCC 3005</t>
  </si>
  <si>
    <t>Step time @ 65°C [min]</t>
  </si>
  <si>
    <t>MCC 3010</t>
  </si>
  <si>
    <t>MCC 3025</t>
  </si>
  <si>
    <t>MCC 3035</t>
  </si>
  <si>
    <t>MCC 3050</t>
  </si>
  <si>
    <t>Softbake Time</t>
  </si>
  <si>
    <t>Softbake time [min]</t>
  </si>
  <si>
    <t>PEB Time</t>
  </si>
  <si>
    <t>PEB time [min]</t>
  </si>
  <si>
    <t>Dev time</t>
  </si>
  <si>
    <t>Dev time [min]</t>
  </si>
  <si>
    <t>Not  recommended for MicroChem Su8</t>
  </si>
  <si>
    <t>Relaxation time</t>
  </si>
  <si>
    <t>Softbake @ 95°C for X minutes</t>
  </si>
  <si>
    <t>PEB @ 65°C for 1 minutes &amp; 95°C for X minutes</t>
  </si>
  <si>
    <t>Please select your supplier of SU-8:</t>
  </si>
  <si>
    <t xml:space="preserve">Gersteltec </t>
  </si>
  <si>
    <t>Decrease exposure dose.                             Develop with sonic agitation option.
Note: to achieve high aspect ratio, the optimal dose is generally less than what is sufficient to avoid cracks in large areas of material.</t>
  </si>
  <si>
    <t>MicroResist mr-DWL Process Parameters</t>
  </si>
  <si>
    <t>mr-DWL-5</t>
  </si>
  <si>
    <t>mr-DWL-40</t>
  </si>
  <si>
    <t>mr-DWL-05</t>
  </si>
  <si>
    <t>Step time @ 50°C [min]</t>
  </si>
  <si>
    <t>Step time @ 135°C [min]</t>
  </si>
  <si>
    <t>Prog. PR_strip_high_7min</t>
  </si>
  <si>
    <t xml:space="preserve">
Prog. PR_strip_high_7min</t>
  </si>
  <si>
    <t>20 min / 150°C</t>
  </si>
  <si>
    <t>Z11 / Tepla 300</t>
  </si>
  <si>
    <t xml:space="preserve">
Prog. 5</t>
  </si>
  <si>
    <t>Z13 / Hotplate</t>
  </si>
  <si>
    <t>Back to Zone 13 MCC Summary</t>
  </si>
  <si>
    <t xml:space="preserve">Z13 / Hotplate </t>
  </si>
  <si>
    <t>Step time @ 90°C [min]</t>
  </si>
  <si>
    <t>Step time @ 85°C [min]</t>
  </si>
  <si>
    <t xml:space="preserve">Z1 / Hotplate </t>
  </si>
  <si>
    <t>Z1 / Plade Solvent Wet Bench</t>
  </si>
  <si>
    <t>Z1 / uScope</t>
  </si>
  <si>
    <t>Z1/ Plade Solvent Wet Bench</t>
  </si>
  <si>
    <t>Process: Mask-less Lithography
Mode: High quality
Dose : X
Defocus : Y</t>
  </si>
  <si>
    <t xml:space="preserve">PEB @ 50°C for X minutes
PEB @ 85°C for Y minutes
</t>
  </si>
  <si>
    <t>Edge Bead Removal (EBR)</t>
  </si>
  <si>
    <t>Segment 1: Time: 300s / Speed: 500rpm</t>
  </si>
  <si>
    <t>http://microresist.de/en/product/negative-photoresists-2</t>
  </si>
  <si>
    <t>http://www.gersteltec.ch/su-8-Photoresists/</t>
  </si>
  <si>
    <t>http://www.microchem.com/Prod-SU83000.htm</t>
  </si>
  <si>
    <t>Note: Thickness from 0.8 um to 240 um</t>
  </si>
  <si>
    <t>Note: Thickness from 3 um to 100 um</t>
  </si>
  <si>
    <t>Softbake time</t>
  </si>
  <si>
    <t>PEB time</t>
  </si>
  <si>
    <t>Develop time</t>
  </si>
  <si>
    <t>[min]</t>
  </si>
  <si>
    <t>Hard bake time</t>
  </si>
  <si>
    <t>Step time [h]</t>
  </si>
  <si>
    <t>Note: 135°C</t>
  </si>
  <si>
    <t>Microchem SU-8 3000 Process Parameters</t>
  </si>
  <si>
    <t>LSM200 &amp; LSM250</t>
  </si>
  <si>
    <t>Note: for Si substrates, set PEB at 95C. For float glass, set to 90C. Place a single sheet of cleanroom paper under the substrate for better heat uniformity.</t>
  </si>
  <si>
    <t>Note: Due to a different solvent formulation, MicroChem Su8 allows for shorter Bake times with no ramps compared to Gersteltec.</t>
  </si>
  <si>
    <t>Note: MLA150: laser emitting @ 405 nm! For exposure of mr-DWL layers on the MLA150, an edge bead removal is mandatory!</t>
  </si>
  <si>
    <r>
      <t>Use the "CMISTART" recipe.
X is the spinning speed to achieve the desired thickness.
Use the "</t>
    </r>
    <r>
      <rPr>
        <b/>
        <sz val="9"/>
        <rFont val="Arial"/>
        <family val="2"/>
      </rPr>
      <t>Z01 MR Summary</t>
    </r>
    <r>
      <rPr>
        <sz val="9"/>
        <rFont val="Arial"/>
        <family val="2"/>
      </rPr>
      <t>" sheet to determine X.</t>
    </r>
  </si>
  <si>
    <t>Back to Z01 MR Summary</t>
  </si>
  <si>
    <r>
      <t>X is the optimal exposure dose.
Y is the optimal defocus.
Use the "</t>
    </r>
    <r>
      <rPr>
        <b/>
        <sz val="9"/>
        <rFont val="Arial"/>
        <family val="2"/>
      </rPr>
      <t>Z101 MR Summary</t>
    </r>
    <r>
      <rPr>
        <sz val="9"/>
        <rFont val="Arial"/>
        <family val="2"/>
      </rPr>
      <t>" sheet to determine X. Check the parameters file on the MLA150 computer.
Values are only a guide to find specific exposure dose and may be different for each process.</t>
    </r>
  </si>
  <si>
    <r>
      <t>Development time:
Use the "</t>
    </r>
    <r>
      <rPr>
        <b/>
        <sz val="9"/>
        <rFont val="Arial"/>
        <family val="2"/>
      </rPr>
      <t>Z01 MR Summary</t>
    </r>
    <r>
      <rPr>
        <sz val="9"/>
        <rFont val="Arial"/>
        <family val="2"/>
      </rPr>
      <t>" sheet to determine the development time.
The necessary time might be longer - if a reaction is visible within isopropanol (white residues appear), return to PGMEA for 1 min. Repeat until isopropanol does not react with dissolved SU8 residues.</t>
    </r>
  </si>
  <si>
    <t>Manual EBR with syringe filled with PGMEA</t>
  </si>
  <si>
    <t xml:space="preserve">Z1 / Sawatec HP401Z 
Z1 / Hotplate
 </t>
  </si>
  <si>
    <t>Z1 / Sawatec LSM200</t>
  </si>
  <si>
    <t>Z5 / MLA150</t>
  </si>
  <si>
    <t>Z1 / Hotplate</t>
  </si>
  <si>
    <t>Z2 / Ultrafab Piranha
Z2 / Tepla Gigabatch</t>
  </si>
  <si>
    <t>Z2 / Tepla Gigabatch</t>
  </si>
  <si>
    <t>Make sure hotplate is at 30°C standby.</t>
  </si>
  <si>
    <t>30 minutes @ 30°C</t>
  </si>
  <si>
    <t>Segment 1: Time: 10 s / Temp.: 30°C
Base Temp.: 30°C / Vaccum : ON / N2: ON
Segment 2: Time: 600 s / Temp.: 50°C
End segment: OFF / Vaccum : OFF / N2: ON                                                                                                                                                            
Segment 3: Time: X s / Temp.: 50°C
End segment: OFF / Vaccum : OFF / N2: ON
Segment 4: Time: 600 s / Temp.: 90°C
End segment: ON / Vaccum : OFF / N2: ON
Segment 5: Time: Y s / Temp.: 90°C
End segment: ON / Vaccum : OFF / N2: ON
Segment 6: Time: 1800 s / Temp.: 30°C
End segment: ON / Vaccum : OFF / N2: ON
Segment 7 -&gt; 24: NO INFLUENCE</t>
  </si>
  <si>
    <t>Z2 / Ultrafab Piranha
Z11 / Tepla 300</t>
  </si>
  <si>
    <t>Planarisation</t>
  </si>
  <si>
    <t>Planarisation time</t>
  </si>
  <si>
    <t>Step time @ 30°C/RT [min]</t>
  </si>
  <si>
    <t>Note: Planarisation by putting wafer in glass Petri dish with matching cover, which creates solvent saturated atmosphere, and allows resist to flow/planarize without forming dry crust on top, and reduces edge beads.</t>
  </si>
  <si>
    <t>Note: Due to a different solvent formulation, MicroResist mr-DWL allows for short Bake times and quicker ramps compared to Gersteltec. Ramp 8°C/min</t>
  </si>
  <si>
    <t>Note: Place a single sheet of cleanroom paper under the substrate for better heat uniformity. Ramp 8°C/min</t>
  </si>
  <si>
    <r>
      <t>X &amp; Y are the PEB bake step times.                                                                                                                                        Use the "</t>
    </r>
    <r>
      <rPr>
        <b/>
        <sz val="9"/>
        <rFont val="Arial"/>
        <family val="2"/>
      </rPr>
      <t>Z01 MRSummary</t>
    </r>
    <r>
      <rPr>
        <sz val="9"/>
        <rFont val="Arial"/>
        <family val="2"/>
      </rPr>
      <t>" sheet to determine X &amp; Y.                                                      Ramp rule of thumb: 8°C/min</t>
    </r>
  </si>
  <si>
    <r>
      <t>X &amp; Y are the softbake step times.                                                                                                                                        Use the "</t>
    </r>
    <r>
      <rPr>
        <b/>
        <sz val="9"/>
        <rFont val="Arial"/>
        <family val="2"/>
      </rPr>
      <t>Z01 MR Summary</t>
    </r>
    <r>
      <rPr>
        <sz val="9"/>
        <rFont val="Arial"/>
        <family val="2"/>
      </rPr>
      <t>" sheet to determine X &amp; Y. Ramp rule of thumb: 8°C/min</t>
    </r>
  </si>
  <si>
    <t>MICRORESIST modified SU8 previously used for MLA150 405nm exposure</t>
  </si>
  <si>
    <t>SU-8 processing runcard in CMi (v. Dec 2016)</t>
  </si>
  <si>
    <t>c) Available product: choose from the rows marked with green</t>
  </si>
  <si>
    <t>d) Use parameters from table</t>
  </si>
  <si>
    <t>b) Select the exposure tool:</t>
  </si>
  <si>
    <t>MABA6</t>
  </si>
  <si>
    <t>Exposure with</t>
  </si>
  <si>
    <r>
      <t>Dose [mJ/cm</t>
    </r>
    <r>
      <rPr>
        <vertAlign val="superscript"/>
        <sz val="10"/>
        <rFont val="Arial"/>
        <family val="2"/>
      </rPr>
      <t>2</t>
    </r>
    <r>
      <rPr>
        <sz val="10"/>
        <rFont val="Arial"/>
        <family val="2"/>
      </rPr>
      <t>]</t>
    </r>
  </si>
  <si>
    <t>EXPOSURE TOOLS</t>
  </si>
  <si>
    <t>Sawatec LSM200/LSM250</t>
  </si>
  <si>
    <t>MA6 Gen3</t>
  </si>
  <si>
    <t>Gersteltec SU-8 GM Process Parameters</t>
  </si>
  <si>
    <t>Process: Photolithography
Exp. Time: X s (with 20.0 mW/cm2, mode CP)
Mode: Align + Exp
Expose Type: Soft; Hard (HC Wait T.: 10s)
Alignment Gap: 30um</t>
  </si>
  <si>
    <t>Minimum cooldown / relaxation : 10 minutes</t>
  </si>
  <si>
    <t>Back to Gersteltec GM Summary</t>
  </si>
  <si>
    <r>
      <t xml:space="preserve">
X is the spinning speed to achieve the desired thickness.
Use the "G</t>
    </r>
    <r>
      <rPr>
        <b/>
        <sz val="9"/>
        <rFont val="Arial"/>
        <family val="2"/>
      </rPr>
      <t>ersteltec GM Summary</t>
    </r>
    <r>
      <rPr>
        <sz val="9"/>
        <rFont val="Arial"/>
        <family val="2"/>
      </rPr>
      <t>"</t>
    </r>
    <r>
      <rPr>
        <b/>
        <sz val="9"/>
        <rFont val="Arial"/>
        <family val="2"/>
      </rPr>
      <t xml:space="preserve"> </t>
    </r>
    <r>
      <rPr>
        <sz val="9"/>
        <rFont val="Arial"/>
        <family val="2"/>
      </rPr>
      <t>sheet to determine X.</t>
    </r>
  </si>
  <si>
    <t>Note: Thickness from 5 um to 150 um</t>
  </si>
  <si>
    <t>Z1 / Sawatec LSM200
Z13 / Sawatec LSM250</t>
  </si>
  <si>
    <t>Z1 / Sawatec HP401Z
Z13 / Sawatec HP200</t>
  </si>
  <si>
    <t xml:space="preserve">Z5 / VPG200 </t>
  </si>
  <si>
    <r>
      <t>X is the time needed to get the desired exposure dose. Use the "</t>
    </r>
    <r>
      <rPr>
        <b/>
        <sz val="9"/>
        <rFont val="Arial"/>
        <family val="2"/>
      </rPr>
      <t>Gersteltec GM Summary</t>
    </r>
    <r>
      <rPr>
        <sz val="9"/>
        <rFont val="Arial"/>
        <family val="2"/>
      </rPr>
      <t>" sheet to determine X.
If X is &gt; 20 s, split exposure with 10 s pause is recommended between each exposure step.
Values are only an indication of the typical exposure dose and may be different for each process.</t>
    </r>
  </si>
  <si>
    <r>
      <t>X is the total laser intensity (single pass x exposure count) needed to get the desired exposure dose. Use the "</t>
    </r>
    <r>
      <rPr>
        <b/>
        <sz val="9"/>
        <rFont val="Arial"/>
        <family val="2"/>
      </rPr>
      <t>Gersteltec GM Summary</t>
    </r>
    <r>
      <rPr>
        <sz val="9"/>
        <rFont val="Arial"/>
        <family val="2"/>
      </rPr>
      <t>" sheet to determine X.
Values are only an indication of the typical exposure dose and may be different for each process.</t>
    </r>
  </si>
  <si>
    <t xml:space="preserve">Process: Mask-Aligner 
Exp. Time: X s with 20.0 mW/cm2 (i-line/broadband)
Expose Type: Soft; Hard (HC Wait T.: 10 s); or Flood-E
Alignment Gap: 30um
</t>
  </si>
  <si>
    <t>Z1 / Plade Wet Bench
Z13 / Wet Bench Solvent</t>
  </si>
  <si>
    <t xml:space="preserve">Process: Laser Writing
Intensity (20mm Head): Z %
Focus: 0 (or negative)
Exposure Count : Y
Total Laser Intensity: Z x Y = X % 
</t>
  </si>
  <si>
    <t>Z1 / uScope
Z13 / uScope</t>
  </si>
  <si>
    <t>Prog. 05</t>
  </si>
  <si>
    <t>Z1 &amp; Z13 / Hotplate</t>
  </si>
  <si>
    <t xml:space="preserve">
Prog. 05</t>
  </si>
  <si>
    <t>Post-exposure bake (PEB)</t>
  </si>
  <si>
    <t>Softbake (SB)</t>
  </si>
  <si>
    <t>Z1 / MA6 Gen3
Z6 / MA6
Z13 / MJB4</t>
  </si>
  <si>
    <t>Z1 / Accuplate
Z1 / Dataplate</t>
  </si>
  <si>
    <r>
      <t>Use the "CMISTART" recipe.
X is the spinning speed to achieve the desired thickness.
Use the "</t>
    </r>
    <r>
      <rPr>
        <b/>
        <sz val="9"/>
        <rFont val="Arial"/>
        <family val="2"/>
      </rPr>
      <t>MicroChem 3000 Summary</t>
    </r>
    <r>
      <rPr>
        <sz val="9"/>
        <rFont val="Arial"/>
        <family val="2"/>
      </rPr>
      <t>" sheet to determine X.</t>
    </r>
  </si>
  <si>
    <r>
      <t>X is the softbake time.                                                                                                                                        Use the "</t>
    </r>
    <r>
      <rPr>
        <b/>
        <sz val="9"/>
        <rFont val="Arial"/>
        <family val="2"/>
      </rPr>
      <t>MicroChem 3000 Summary</t>
    </r>
    <r>
      <rPr>
        <sz val="9"/>
        <rFont val="Arial"/>
        <family val="2"/>
      </rPr>
      <t>" sheet to determine X.</t>
    </r>
  </si>
  <si>
    <r>
      <t>X is the time needed to get the desired exposure dose.
Use the "</t>
    </r>
    <r>
      <rPr>
        <b/>
        <sz val="9"/>
        <rFont val="Arial"/>
        <family val="2"/>
      </rPr>
      <t>MicroChem 3000 Summary</t>
    </r>
    <r>
      <rPr>
        <sz val="9"/>
        <rFont val="Arial"/>
        <family val="2"/>
      </rPr>
      <t>" sheet to determine X.
If X is &gt; 20 s, split exposure with 10 s pause is recommended between each exposure step.
Values are only a guide to find starting exposure dose and may be different for each process.</t>
    </r>
  </si>
  <si>
    <r>
      <t>X is the PEB bake time.                                                                                                                                        Use the "</t>
    </r>
    <r>
      <rPr>
        <b/>
        <sz val="9"/>
        <rFont val="Arial"/>
        <family val="2"/>
      </rPr>
      <t>MicroChem 3000 Summary</t>
    </r>
    <r>
      <rPr>
        <sz val="9"/>
        <rFont val="Arial"/>
        <family val="2"/>
      </rPr>
      <t>" sheet to determine X.</t>
    </r>
  </si>
  <si>
    <r>
      <t>Development time:
Use the "</t>
    </r>
    <r>
      <rPr>
        <b/>
        <sz val="9"/>
        <rFont val="Arial"/>
        <family val="2"/>
      </rPr>
      <t>MicroChem 3000 Summary</t>
    </r>
    <r>
      <rPr>
        <sz val="9"/>
        <rFont val="Arial"/>
        <family val="2"/>
      </rPr>
      <t>" sheet to determine the development time.
The necessary time might be longer - if a reaction is visible within isopropanol (white residues appear), return to PGMEA for 1 min. Repeat until isopropanol does not react with dissolved SU8 residues.</t>
    </r>
  </si>
  <si>
    <t>X is the the ramp up duration, and Y is the bake time, depending on material type.
[Type: X, Y]
1040: 1200 s, 900 s
1050: 1200 s, 1200 s
1060: 1800 s, 1800 s
1070: 2400 s, 2400 s
1075: 3000 s, 2x1800 s [*]
Z is the bake temperature: 90C for Si, 85C for float glass. Place a single sheet of cleanroom paper under the substrates.
[*]: the bake target is 3600 s. The maximum step duration is 3276 sec, therefore two segments must be set up with 1800 s each.</t>
  </si>
  <si>
    <t>X is the time for the ramp up, Y is the bake time, depending on material type.
[Type: X, Y]
1040: 20 min, 15 min 
1050: 20 min, 20 min
1060: 30 min, 30 min
1070: 40 min, 40 min
1075: 50 min, 60 min
Z is the bake temperature, 90C for Si, 85C for float glass. Place a single sheet of cleanroom paper under the substrates.</t>
  </si>
  <si>
    <t>0.5 + 0.5</t>
  </si>
  <si>
    <t>1 + 0.5</t>
  </si>
  <si>
    <t>1 + 1</t>
  </si>
  <si>
    <t>2 + 1</t>
  </si>
  <si>
    <t>3 + 2</t>
  </si>
  <si>
    <t>(Recommended exposure parameters for MABA6, MJB4, MA6 Gen3 and VPG200)</t>
  </si>
  <si>
    <t>SU-8 3000 series</t>
  </si>
  <si>
    <t>(Recommended exposure parameters for MJB4, MA6 Gen3 and VPG200)</t>
  </si>
  <si>
    <t>a) Enter target thickness [µm]:</t>
  </si>
  <si>
    <t>b) Select the exposure tool in the list:</t>
  </si>
  <si>
    <t>MLA150</t>
  </si>
  <si>
    <t>@375nm</t>
  </si>
  <si>
    <t>i-line</t>
  </si>
  <si>
    <t>Broad 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</si>
</sst>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3" x14ac:knownFonts="1">
    <font>
      <sz val="10"/>
      <name val="Arial"/>
      <family val="2"/>
    </font>
    <font>
      <sz val="14"/>
      <name val="Arial"/>
      <family val="2"/>
    </font>
    <font>
      <b/>
      <sz val="10"/>
      <color indexed="9"/>
      <name val="Arial"/>
      <family val="2"/>
    </font>
    <font>
      <b/>
      <sz val="18"/>
      <name val="Arial"/>
      <family val="2"/>
    </font>
    <font>
      <b/>
      <sz val="12"/>
      <name val="Arial"/>
      <family val="2"/>
    </font>
    <font>
      <vertAlign val="superscript"/>
      <sz val="10"/>
      <name val="Arial"/>
      <family val="2"/>
    </font>
    <font>
      <b/>
      <sz val="18"/>
      <color indexed="55"/>
      <name val="Arial"/>
      <family val="2"/>
    </font>
    <font>
      <b/>
      <sz val="8"/>
      <color indexed="10"/>
      <name val="Arial"/>
      <family val="2"/>
    </font>
    <font>
      <b/>
      <sz val="9"/>
      <name val="Arial"/>
      <family val="2"/>
    </font>
    <font>
      <sz val="9"/>
      <name val="Arial"/>
      <family val="2"/>
    </font>
    <font>
      <sz val="9"/>
      <color indexed="10"/>
      <name val="Arial"/>
      <family val="2"/>
    </font>
    <font>
      <u/>
      <sz val="10"/>
      <color indexed="12"/>
      <name val="Arial"/>
      <family val="2"/>
    </font>
    <font>
      <b/>
      <sz val="9"/>
      <color indexed="10"/>
      <name val="Arial"/>
      <family val="2"/>
    </font>
    <font>
      <sz val="10"/>
      <color indexed="23"/>
      <name val="Arial"/>
      <family val="2"/>
    </font>
    <font>
      <sz val="10"/>
      <color indexed="9"/>
      <name val="Arial"/>
      <family val="2"/>
    </font>
    <font>
      <b/>
      <sz val="10"/>
      <name val="Arial"/>
      <family val="2"/>
    </font>
    <font>
      <sz val="10"/>
      <color theme="0" tint="-0.249977111117893"/>
      <name val="Arial"/>
      <family val="2"/>
    </font>
    <font>
      <sz val="10"/>
      <name val="Arial"/>
      <family val="2"/>
    </font>
    <font>
      <sz val="10"/>
      <color theme="1"/>
      <name val="Arial"/>
      <family val="2"/>
    </font>
    <font>
      <b/>
      <sz val="16"/>
      <name val="Arial"/>
      <family val="2"/>
    </font>
    <font>
      <sz val="12"/>
      <name val="Arial"/>
      <family val="2"/>
    </font>
    <font>
      <b/>
      <sz val="12"/>
      <color theme="4"/>
      <name val="Arial"/>
      <family val="2"/>
    </font>
    <font>
      <u/>
      <sz val="12"/>
      <color indexed="12"/>
      <name val="Arial"/>
      <family val="2"/>
    </font>
    <font>
      <b/>
      <sz val="12"/>
      <color indexed="9"/>
      <name val="Arial"/>
      <family val="2"/>
    </font>
    <font>
      <b/>
      <u/>
      <sz val="14"/>
      <color indexed="12"/>
      <name val="Arial"/>
      <family val="2"/>
    </font>
    <font>
      <u/>
      <sz val="10"/>
      <color theme="0" tint="-0.249977111117893"/>
      <name val="Arial"/>
      <family val="2"/>
    </font>
    <font>
      <b/>
      <sz val="10"/>
      <color theme="0" tint="-0.249977111117893"/>
      <name val="Arial"/>
      <family val="2"/>
    </font>
    <font>
      <b/>
      <vertAlign val="superscript"/>
      <sz val="10"/>
      <name val="Arial"/>
      <family val="2"/>
    </font>
    <font>
      <b/>
      <sz val="11"/>
      <name val="Calibri"/>
      <family val="2"/>
    </font>
    <font>
      <b/>
      <u/>
      <sz val="12"/>
      <color indexed="12"/>
      <name val="Arial"/>
      <family val="2"/>
    </font>
    <font>
      <u/>
      <sz val="10"/>
      <name val="Arial"/>
      <family val="2"/>
    </font>
    <font>
      <i/>
      <sz val="16"/>
      <color theme="0"/>
      <name val="Arial"/>
      <family val="2"/>
    </font>
    <font>
      <sz val="12"/>
      <color theme="1" tint="0.249977111117893"/>
      <name val="Arial"/>
      <family val="2"/>
    </font>
  </fonts>
  <fills count="9">
    <fill>
      <patternFill patternType="none"/>
    </fill>
    <fill>
      <patternFill patternType="gray125"/>
    </fill>
    <fill>
      <patternFill patternType="solid">
        <fgColor indexed="14"/>
        <bgColor indexed="33"/>
      </patternFill>
    </fill>
    <fill>
      <patternFill patternType="solid">
        <fgColor indexed="22"/>
        <bgColor indexed="31"/>
      </patternFill>
    </fill>
    <fill>
      <patternFill patternType="solid">
        <fgColor rgb="FFFFFF00"/>
        <bgColor indexed="64"/>
      </patternFill>
    </fill>
    <fill>
      <patternFill patternType="solid">
        <fgColor rgb="FFFFFF00"/>
        <bgColor indexed="33"/>
      </patternFill>
    </fill>
    <fill>
      <patternFill patternType="solid">
        <fgColor theme="8" tint="0.79998168889431442"/>
        <bgColor indexed="64"/>
      </patternFill>
    </fill>
    <fill>
      <patternFill patternType="solid">
        <fgColor theme="0"/>
        <bgColor indexed="33"/>
      </patternFill>
    </fill>
    <fill>
      <patternFill patternType="solid">
        <fgColor rgb="FFFFC000"/>
        <bgColor indexed="64"/>
      </patternFill>
    </fill>
  </fills>
  <borders count="6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medium">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23"/>
      </right>
      <top style="thin">
        <color theme="0" tint="-0.499984740745262"/>
      </top>
      <bottom/>
      <diagonal/>
    </border>
    <border>
      <left style="thin">
        <color indexed="23"/>
      </left>
      <right style="thin">
        <color indexed="23"/>
      </right>
      <top style="thin">
        <color theme="0" tint="-0.499984740745262"/>
      </top>
      <bottom/>
      <diagonal/>
    </border>
    <border>
      <left style="thin">
        <color indexed="23"/>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0" fontId="11" fillId="0" borderId="0" applyNumberFormat="0" applyFill="0" applyBorder="0" applyAlignment="0" applyProtection="0"/>
  </cellStyleXfs>
  <cellXfs count="261">
    <xf numFmtId="0" fontId="0" fillId="0" borderId="0" xfId="0"/>
    <xf numFmtId="0" fontId="0" fillId="0" borderId="0" xfId="0" applyAlignment="1">
      <alignment horizontal="center"/>
    </xf>
    <xf numFmtId="1" fontId="0" fillId="0" borderId="0" xfId="0" applyNumberFormat="1" applyAlignment="1">
      <alignment horizontal="center"/>
    </xf>
    <xf numFmtId="0" fontId="1" fillId="0" borderId="0" xfId="0" applyFont="1"/>
    <xf numFmtId="164" fontId="2" fillId="2" borderId="0" xfId="0" applyNumberFormat="1" applyFont="1" applyFill="1" applyAlignment="1" applyProtection="1">
      <alignment horizontal="center"/>
      <protection locked="0" hidden="1"/>
    </xf>
    <xf numFmtId="0" fontId="0" fillId="0" borderId="0" xfId="0" applyAlignment="1"/>
    <xf numFmtId="0" fontId="7" fillId="0" borderId="0" xfId="0" applyFont="1" applyAlignment="1">
      <alignment horizontal="center" vertical="center" wrapText="1"/>
    </xf>
    <xf numFmtId="0" fontId="8" fillId="0"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9" fillId="0" borderId="1"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0" fillId="0" borderId="1" xfId="0" applyFont="1" applyBorder="1" applyAlignment="1">
      <alignment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xf numFmtId="0" fontId="9" fillId="0" borderId="0" xfId="0" applyNumberFormat="1" applyFont="1" applyBorder="1" applyAlignment="1">
      <alignment horizontal="left" vertical="center" wrapText="1"/>
    </xf>
    <xf numFmtId="0" fontId="0" fillId="0" borderId="1" xfId="0" applyFont="1" applyBorder="1" applyAlignment="1">
      <alignment vertical="center" wrapText="1"/>
    </xf>
    <xf numFmtId="0" fontId="14" fillId="0" borderId="0" xfId="0" applyFont="1"/>
    <xf numFmtId="0" fontId="15" fillId="0" borderId="0" xfId="0" applyFont="1"/>
    <xf numFmtId="0" fontId="0" fillId="0" borderId="0" xfId="0" applyAlignment="1">
      <alignment horizontal="center" vertical="center"/>
    </xf>
    <xf numFmtId="0" fontId="0" fillId="0" borderId="0" xfId="0" applyAlignment="1">
      <alignment vertical="center"/>
    </xf>
    <xf numFmtId="0" fontId="0" fillId="0" borderId="0" xfId="0"/>
    <xf numFmtId="0" fontId="12" fillId="0" borderId="0"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11" fillId="0" borderId="0" xfId="1" applyAlignment="1"/>
    <xf numFmtId="0" fontId="11" fillId="0" borderId="0" xfId="1"/>
    <xf numFmtId="0" fontId="0" fillId="0" borderId="4" xfId="0" applyBorder="1"/>
    <xf numFmtId="1" fontId="0" fillId="0" borderId="0" xfId="0" applyNumberFormat="1" applyBorder="1" applyAlignment="1">
      <alignment horizontal="center"/>
    </xf>
    <xf numFmtId="1" fontId="0" fillId="0" borderId="5" xfId="0" applyNumberFormat="1"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 fontId="0" fillId="0" borderId="6" xfId="0" applyNumberFormat="1" applyBorder="1" applyAlignment="1">
      <alignment horizontal="center"/>
    </xf>
    <xf numFmtId="1" fontId="0" fillId="0" borderId="7" xfId="0" applyNumberFormat="1" applyBorder="1" applyAlignment="1">
      <alignment horizontal="center"/>
    </xf>
    <xf numFmtId="1" fontId="0" fillId="0" borderId="8" xfId="0" applyNumberForma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 fontId="0" fillId="0" borderId="10" xfId="0" applyNumberForma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 fontId="0" fillId="0" borderId="9" xfId="0" applyNumberFormat="1" applyBorder="1" applyAlignment="1">
      <alignment horizontal="center"/>
    </xf>
    <xf numFmtId="165" fontId="0" fillId="0" borderId="10" xfId="0" applyNumberFormat="1" applyBorder="1" applyAlignment="1">
      <alignment horizontal="center"/>
    </xf>
    <xf numFmtId="165" fontId="0" fillId="0" borderId="11" xfId="0" applyNumberFormat="1" applyBorder="1" applyAlignment="1">
      <alignment horizontal="center"/>
    </xf>
    <xf numFmtId="1" fontId="0" fillId="0" borderId="11" xfId="0" applyNumberFormat="1" applyBorder="1" applyAlignment="1">
      <alignment horizontal="center"/>
    </xf>
    <xf numFmtId="0" fontId="16" fillId="0" borderId="0" xfId="0" applyFont="1"/>
    <xf numFmtId="0" fontId="16" fillId="0" borderId="0" xfId="0" applyFont="1" applyAlignment="1">
      <alignment horizontal="center"/>
    </xf>
    <xf numFmtId="2" fontId="16" fillId="0" borderId="0" xfId="0" applyNumberFormat="1" applyFont="1"/>
    <xf numFmtId="0" fontId="0" fillId="0" borderId="0" xfId="0"/>
    <xf numFmtId="0" fontId="19" fillId="0" borderId="0" xfId="0" applyFont="1"/>
    <xf numFmtId="0" fontId="20" fillId="0" borderId="0" xfId="0" applyFont="1"/>
    <xf numFmtId="0" fontId="21" fillId="0" borderId="0" xfId="0" applyFont="1"/>
    <xf numFmtId="0" fontId="22" fillId="0" borderId="0" xfId="1" applyFont="1"/>
    <xf numFmtId="0" fontId="24" fillId="0" borderId="0" xfId="1" applyFont="1" applyAlignment="1">
      <alignment horizontal="center"/>
    </xf>
    <xf numFmtId="0" fontId="18" fillId="4" borderId="0" xfId="1" applyFont="1" applyFill="1" applyAlignment="1" applyProtection="1">
      <alignment horizontal="center"/>
    </xf>
    <xf numFmtId="0" fontId="0" fillId="4" borderId="0" xfId="0" applyFill="1" applyAlignment="1" applyProtection="1">
      <alignment horizontal="center"/>
    </xf>
    <xf numFmtId="0" fontId="0" fillId="0" borderId="0" xfId="0"/>
    <xf numFmtId="0" fontId="25" fillId="0" borderId="0" xfId="1" applyFont="1" applyFill="1" applyAlignment="1">
      <alignment horizontal="center"/>
    </xf>
    <xf numFmtId="0" fontId="16" fillId="0" borderId="0" xfId="0" applyFont="1" applyFill="1" applyAlignment="1">
      <alignment horizontal="center"/>
    </xf>
    <xf numFmtId="0" fontId="0" fillId="0" borderId="0" xfId="0" applyBorder="1"/>
    <xf numFmtId="0" fontId="0" fillId="0" borderId="0" xfId="0"/>
    <xf numFmtId="0" fontId="0" fillId="0" borderId="20" xfId="0" applyBorder="1" applyAlignment="1">
      <alignment horizontal="center"/>
    </xf>
    <xf numFmtId="0" fontId="0" fillId="0" borderId="22" xfId="0" applyBorder="1"/>
    <xf numFmtId="1" fontId="0" fillId="0" borderId="23" xfId="0" applyNumberForma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8" xfId="0" applyBorder="1" applyAlignment="1">
      <alignment horizontal="center"/>
    </xf>
    <xf numFmtId="0" fontId="4" fillId="0" borderId="0" xfId="0" applyFont="1"/>
    <xf numFmtId="0" fontId="20"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17" fillId="5" borderId="0" xfId="1" applyFont="1" applyFill="1" applyBorder="1" applyAlignment="1" applyProtection="1">
      <alignment horizontal="center"/>
    </xf>
    <xf numFmtId="0" fontId="0" fillId="0" borderId="0" xfId="0" applyFont="1" applyAlignment="1">
      <alignment horizontal="center" vertical="center" wrapText="1"/>
    </xf>
    <xf numFmtId="0" fontId="0" fillId="0" borderId="0" xfId="0" applyBorder="1" applyAlignment="1">
      <alignment horizontal="center" vertical="center"/>
    </xf>
    <xf numFmtId="0" fontId="0" fillId="0" borderId="0" xfId="0" applyAlignment="1">
      <alignment horizontal="left" indent="3"/>
    </xf>
    <xf numFmtId="0" fontId="18" fillId="0" borderId="0" xfId="1" applyFont="1" applyFill="1" applyBorder="1" applyAlignment="1" applyProtection="1">
      <alignment horizontal="center"/>
      <protection locked="0"/>
    </xf>
    <xf numFmtId="1" fontId="17" fillId="0" borderId="0" xfId="0" applyNumberFormat="1" applyFont="1" applyFill="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15" fillId="0" borderId="27" xfId="0" applyFont="1" applyFill="1" applyBorder="1" applyAlignment="1" applyProtection="1">
      <alignment horizontal="center"/>
      <protection locked="0" hidden="1"/>
    </xf>
    <xf numFmtId="0" fontId="4" fillId="0" borderId="29" xfId="0" applyFont="1" applyBorder="1" applyAlignment="1">
      <alignment vertical="center"/>
    </xf>
    <xf numFmtId="0" fontId="4" fillId="0" borderId="30" xfId="0" applyFont="1" applyBorder="1" applyAlignment="1">
      <alignment vertical="center"/>
    </xf>
    <xf numFmtId="0" fontId="0" fillId="0" borderId="32" xfId="0" applyBorder="1"/>
    <xf numFmtId="164" fontId="2" fillId="2" borderId="0" xfId="0" applyNumberFormat="1" applyFont="1" applyFill="1" applyBorder="1" applyAlignment="1" applyProtection="1">
      <alignment horizontal="center"/>
      <protection locked="0" hidden="1"/>
    </xf>
    <xf numFmtId="164" fontId="26" fillId="0" borderId="0" xfId="0" applyNumberFormat="1" applyFont="1" applyFill="1" applyBorder="1" applyAlignment="1" applyProtection="1">
      <alignment horizontal="center"/>
      <protection hidden="1"/>
    </xf>
    <xf numFmtId="1" fontId="16" fillId="0" borderId="0" xfId="0" applyNumberFormat="1" applyFont="1" applyFill="1" applyBorder="1" applyAlignment="1">
      <alignment horizontal="center"/>
    </xf>
    <xf numFmtId="1" fontId="0" fillId="0" borderId="33" xfId="0" applyNumberFormat="1" applyBorder="1" applyAlignment="1">
      <alignment horizontal="center"/>
    </xf>
    <xf numFmtId="1" fontId="0" fillId="0" borderId="34" xfId="0" applyNumberFormat="1" applyBorder="1" applyAlignment="1">
      <alignment horizontal="center"/>
    </xf>
    <xf numFmtId="1" fontId="0" fillId="0" borderId="18" xfId="0" applyNumberFormat="1" applyBorder="1" applyAlignment="1">
      <alignment horizontal="center"/>
    </xf>
    <xf numFmtId="0" fontId="0" fillId="0" borderId="21" xfId="0" applyBorder="1" applyAlignment="1">
      <alignment horizontal="center"/>
    </xf>
    <xf numFmtId="0" fontId="3" fillId="0" borderId="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18" xfId="0" applyFont="1" applyBorder="1" applyAlignment="1">
      <alignment vertical="center"/>
    </xf>
    <xf numFmtId="0" fontId="4" fillId="0" borderId="21" xfId="0" applyFont="1" applyBorder="1" applyAlignment="1">
      <alignment vertical="center"/>
    </xf>
    <xf numFmtId="0" fontId="0" fillId="0" borderId="0" xfId="0" applyBorder="1"/>
    <xf numFmtId="0" fontId="0" fillId="0" borderId="0" xfId="0" applyFill="1"/>
    <xf numFmtId="164" fontId="4" fillId="0" borderId="0" xfId="0" applyNumberFormat="1" applyFont="1" applyFill="1" applyAlignment="1" applyProtection="1">
      <alignment vertical="center" wrapText="1"/>
      <protection locked="0" hidden="1"/>
    </xf>
    <xf numFmtId="164" fontId="23" fillId="0" borderId="0" xfId="0" applyNumberFormat="1" applyFont="1" applyFill="1" applyAlignment="1" applyProtection="1">
      <alignment vertical="center" wrapText="1"/>
      <protection locked="0" hidden="1"/>
    </xf>
    <xf numFmtId="0" fontId="10" fillId="0" borderId="1" xfId="0" applyNumberFormat="1" applyFont="1" applyBorder="1" applyAlignment="1">
      <alignment horizontal="left" vertical="top" wrapText="1"/>
    </xf>
    <xf numFmtId="0" fontId="7" fillId="0" borderId="0" xfId="0" applyFont="1" applyAlignment="1">
      <alignment horizontal="center" vertical="top" wrapText="1"/>
    </xf>
    <xf numFmtId="0" fontId="0" fillId="0" borderId="0" xfId="0" applyAlignment="1">
      <alignment vertical="top"/>
    </xf>
    <xf numFmtId="0" fontId="0" fillId="6" borderId="0" xfId="0" applyFill="1" applyAlignment="1">
      <alignment horizontal="left" vertical="top" wrapText="1"/>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6" fillId="0" borderId="0" xfId="0" applyFont="1" applyFill="1"/>
    <xf numFmtId="0" fontId="0" fillId="0" borderId="0" xfId="0" applyFill="1" applyAlignment="1">
      <alignment horizontal="center"/>
    </xf>
    <xf numFmtId="2" fontId="0" fillId="0" borderId="0" xfId="0" applyNumberFormat="1" applyFont="1" applyFill="1" applyAlignment="1">
      <alignment vertical="top" wrapText="1"/>
    </xf>
    <xf numFmtId="1" fontId="0" fillId="0" borderId="0" xfId="0" applyNumberFormat="1" applyFill="1" applyAlignment="1">
      <alignment horizontal="center"/>
    </xf>
    <xf numFmtId="0" fontId="4" fillId="0" borderId="0" xfId="0" applyFont="1" applyAlignment="1">
      <alignment horizontal="center" vertical="center"/>
    </xf>
    <xf numFmtId="0" fontId="9" fillId="0" borderId="0" xfId="0" applyNumberFormat="1" applyFont="1" applyFill="1" applyBorder="1" applyAlignment="1">
      <alignment horizontal="left" vertical="top" wrapText="1"/>
    </xf>
    <xf numFmtId="0" fontId="15" fillId="0" borderId="0" xfId="0" applyFont="1" applyAlignment="1">
      <alignment horizontal="center" vertical="center" wrapText="1"/>
    </xf>
    <xf numFmtId="0" fontId="0" fillId="0" borderId="0" xfId="0" applyFont="1" applyAlignment="1">
      <alignment horizontal="left" vertical="top" wrapText="1"/>
    </xf>
    <xf numFmtId="0" fontId="15" fillId="0" borderId="36" xfId="0" applyFont="1" applyBorder="1" applyAlignment="1">
      <alignment horizontal="left" vertical="top" wrapText="1"/>
    </xf>
    <xf numFmtId="0" fontId="0" fillId="0" borderId="0" xfId="0" applyFont="1"/>
    <xf numFmtId="0" fontId="0" fillId="0" borderId="36" xfId="0" applyFont="1" applyBorder="1" applyAlignment="1">
      <alignment horizontal="left" vertical="top" wrapText="1"/>
    </xf>
    <xf numFmtId="0" fontId="0" fillId="0" borderId="0" xfId="0" applyFill="1" applyAlignment="1">
      <alignment wrapText="1"/>
    </xf>
    <xf numFmtId="0" fontId="0" fillId="0" borderId="0" xfId="0" applyFill="1" applyAlignment="1">
      <alignment horizontal="left" vertical="top" wrapText="1"/>
    </xf>
    <xf numFmtId="2" fontId="11" fillId="0" borderId="0" xfId="1" applyNumberFormat="1" applyFill="1" applyAlignment="1">
      <alignment vertical="top" wrapText="1"/>
    </xf>
    <xf numFmtId="0" fontId="28" fillId="0" borderId="0" xfId="0" applyFont="1" applyAlignment="1">
      <alignment vertical="top" wrapText="1"/>
    </xf>
    <xf numFmtId="1" fontId="0" fillId="0" borderId="0" xfId="0" applyNumberFormat="1" applyAlignment="1">
      <alignment horizontal="center" vertical="center"/>
    </xf>
    <xf numFmtId="0" fontId="0" fillId="0" borderId="0" xfId="0" applyBorder="1"/>
    <xf numFmtId="0" fontId="17" fillId="7" borderId="0" xfId="1" applyFont="1" applyFill="1" applyBorder="1" applyAlignment="1" applyProtection="1">
      <alignment horizontal="center"/>
    </xf>
    <xf numFmtId="0" fontId="0" fillId="0" borderId="0" xfId="0" applyNumberFormat="1" applyAlignment="1">
      <alignment horizontal="center"/>
    </xf>
    <xf numFmtId="165" fontId="0" fillId="0" borderId="6" xfId="0" applyNumberFormat="1" applyBorder="1" applyAlignment="1">
      <alignment horizontal="center"/>
    </xf>
    <xf numFmtId="165" fontId="0" fillId="0" borderId="7" xfId="0" applyNumberFormat="1" applyBorder="1" applyAlignment="1">
      <alignment horizontal="center"/>
    </xf>
    <xf numFmtId="1" fontId="0" fillId="0" borderId="45" xfId="0" applyNumberForma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xf numFmtId="0" fontId="17" fillId="0" borderId="0" xfId="0" applyFont="1"/>
    <xf numFmtId="0" fontId="0" fillId="0" borderId="0" xfId="0" applyBorder="1"/>
    <xf numFmtId="0" fontId="0" fillId="0" borderId="18" xfId="0" applyBorder="1"/>
    <xf numFmtId="0" fontId="8" fillId="0" borderId="3" xfId="0" applyNumberFormat="1" applyFont="1" applyFill="1" applyBorder="1" applyAlignment="1">
      <alignment horizontal="left" vertical="center" wrapText="1"/>
    </xf>
    <xf numFmtId="0" fontId="0" fillId="0" borderId="0" xfId="0" applyBorder="1"/>
    <xf numFmtId="0" fontId="0" fillId="0" borderId="17" xfId="0" applyBorder="1"/>
    <xf numFmtId="0" fontId="0" fillId="0" borderId="18" xfId="0" applyBorder="1"/>
    <xf numFmtId="0" fontId="1" fillId="0" borderId="0" xfId="0" applyFont="1" applyAlignment="1">
      <alignment horizontal="left"/>
    </xf>
    <xf numFmtId="0" fontId="0" fillId="0" borderId="1" xfId="0" applyFont="1" applyBorder="1" applyAlignment="1">
      <alignment horizontal="left" vertical="center" wrapText="1"/>
    </xf>
    <xf numFmtId="0" fontId="0" fillId="0" borderId="0" xfId="0" applyFill="1" applyBorder="1" applyAlignment="1">
      <alignment vertical="top" wrapText="1"/>
    </xf>
    <xf numFmtId="0" fontId="0" fillId="0" borderId="0" xfId="0" applyFill="1" applyBorder="1" applyAlignment="1">
      <alignment vertical="top"/>
    </xf>
    <xf numFmtId="0" fontId="11" fillId="0" borderId="0" xfId="1" applyFont="1" applyAlignment="1">
      <alignment horizontal="center"/>
    </xf>
    <xf numFmtId="0" fontId="0" fillId="6" borderId="0" xfId="0" applyFill="1" applyBorder="1" applyAlignment="1">
      <alignment vertical="top"/>
    </xf>
    <xf numFmtId="0" fontId="0" fillId="6" borderId="18" xfId="0" applyFill="1" applyBorder="1" applyAlignment="1">
      <alignment vertical="top"/>
    </xf>
    <xf numFmtId="0" fontId="0" fillId="0" borderId="8" xfId="0" applyBorder="1"/>
    <xf numFmtId="1" fontId="16" fillId="0" borderId="18" xfId="0" applyNumberFormat="1" applyFont="1" applyFill="1" applyBorder="1" applyAlignment="1">
      <alignment horizontal="center"/>
    </xf>
    <xf numFmtId="0" fontId="0" fillId="0" borderId="0" xfId="0" applyFill="1" applyBorder="1"/>
    <xf numFmtId="0" fontId="11" fillId="6" borderId="18" xfId="1" applyFill="1" applyBorder="1"/>
    <xf numFmtId="0" fontId="30" fillId="0" borderId="4" xfId="0" applyFont="1" applyBorder="1"/>
    <xf numFmtId="0" fontId="30" fillId="6" borderId="0" xfId="0" applyFont="1" applyFill="1" applyBorder="1"/>
    <xf numFmtId="0" fontId="30" fillId="0" borderId="32" xfId="0" applyFont="1" applyBorder="1"/>
    <xf numFmtId="0" fontId="30" fillId="6" borderId="18" xfId="0" applyFont="1" applyFill="1" applyBorder="1"/>
    <xf numFmtId="0" fontId="4" fillId="0" borderId="4" xfId="0" applyFont="1" applyBorder="1"/>
    <xf numFmtId="0" fontId="0" fillId="0" borderId="27" xfId="0" applyFont="1" applyFill="1" applyBorder="1" applyAlignment="1" applyProtection="1">
      <alignment horizontal="left"/>
      <protection locked="0" hidden="1"/>
    </xf>
    <xf numFmtId="165" fontId="0" fillId="0" borderId="34" xfId="0" applyNumberFormat="1" applyBorder="1" applyAlignment="1">
      <alignment horizontal="center"/>
    </xf>
    <xf numFmtId="0" fontId="0" fillId="0" borderId="32" xfId="0" applyFont="1" applyBorder="1"/>
    <xf numFmtId="0" fontId="0" fillId="6" borderId="18" xfId="0" applyFont="1" applyFill="1" applyBorder="1"/>
    <xf numFmtId="0" fontId="15" fillId="0" borderId="0" xfId="0" applyFont="1" applyBorder="1" applyAlignment="1">
      <alignment vertical="center"/>
    </xf>
    <xf numFmtId="0" fontId="0"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xf numFmtId="0" fontId="0" fillId="0" borderId="4" xfId="0" applyFill="1" applyBorder="1" applyAlignment="1">
      <alignment horizontal="center"/>
    </xf>
    <xf numFmtId="0" fontId="0" fillId="0" borderId="35" xfId="0" applyFill="1" applyBorder="1" applyAlignment="1">
      <alignment horizontal="center"/>
    </xf>
    <xf numFmtId="0" fontId="0" fillId="0" borderId="32" xfId="0" applyFill="1" applyBorder="1" applyAlignment="1">
      <alignment horizontal="center"/>
    </xf>
    <xf numFmtId="0" fontId="0" fillId="0" borderId="0" xfId="0" applyFill="1" applyBorder="1" applyAlignment="1">
      <alignment vertical="center"/>
    </xf>
    <xf numFmtId="0" fontId="0" fillId="0" borderId="6" xfId="0" applyBorder="1" applyAlignment="1">
      <alignment horizontal="center"/>
    </xf>
    <xf numFmtId="0" fontId="0" fillId="0" borderId="7" xfId="0" applyBorder="1" applyAlignment="1">
      <alignment horizontal="center"/>
    </xf>
    <xf numFmtId="0" fontId="0" fillId="0" borderId="0" xfId="0" applyBorder="1"/>
    <xf numFmtId="1" fontId="4" fillId="0" borderId="0" xfId="0" applyNumberFormat="1" applyFont="1" applyAlignment="1">
      <alignment horizontal="left" vertical="center"/>
    </xf>
    <xf numFmtId="0" fontId="4" fillId="0" borderId="18" xfId="0" applyFont="1" applyBorder="1" applyAlignment="1">
      <alignment horizontal="left" vertical="center"/>
    </xf>
    <xf numFmtId="0" fontId="0" fillId="0" borderId="5" xfId="0" applyBorder="1"/>
    <xf numFmtId="0" fontId="0" fillId="0" borderId="62" xfId="0" applyBorder="1"/>
    <xf numFmtId="0" fontId="11" fillId="0" borderId="0" xfId="1" applyAlignment="1">
      <alignment horizontal="left"/>
    </xf>
    <xf numFmtId="1" fontId="32" fillId="0" borderId="65" xfId="0" applyNumberFormat="1" applyFont="1" applyFill="1" applyBorder="1" applyAlignment="1">
      <alignment horizontal="center" vertical="center"/>
    </xf>
    <xf numFmtId="0" fontId="29" fillId="0" borderId="0" xfId="1" applyFont="1" applyAlignment="1">
      <alignment vertical="center"/>
    </xf>
    <xf numFmtId="0" fontId="0" fillId="0" borderId="60" xfId="0" applyBorder="1"/>
    <xf numFmtId="1" fontId="4" fillId="0" borderId="18" xfId="0" applyNumberFormat="1" applyFont="1" applyBorder="1" applyAlignment="1">
      <alignment horizontal="left" vertical="center"/>
    </xf>
    <xf numFmtId="0" fontId="9" fillId="0" borderId="1" xfId="0" applyNumberFormat="1" applyFont="1" applyBorder="1" applyAlignment="1">
      <alignment horizontal="left" vertical="top"/>
    </xf>
    <xf numFmtId="0" fontId="9" fillId="0" borderId="1" xfId="0" applyNumberFormat="1" applyFont="1" applyBorder="1" applyAlignment="1">
      <alignment horizontal="left" vertical="top" wrapText="1" shrinkToFit="1"/>
    </xf>
    <xf numFmtId="0" fontId="29" fillId="0" borderId="0" xfId="1" applyFont="1" applyAlignment="1">
      <alignment horizontal="center" vertical="center"/>
    </xf>
    <xf numFmtId="0" fontId="31" fillId="8" borderId="59" xfId="0" applyFont="1" applyFill="1" applyBorder="1" applyAlignment="1">
      <alignment horizontal="center" wrapText="1"/>
    </xf>
    <xf numFmtId="0" fontId="31" fillId="8" borderId="60" xfId="0" applyFont="1" applyFill="1" applyBorder="1" applyAlignment="1">
      <alignment horizontal="center" wrapText="1"/>
    </xf>
    <xf numFmtId="0" fontId="31" fillId="8" borderId="61" xfId="0" applyFont="1" applyFill="1" applyBorder="1" applyAlignment="1">
      <alignment horizontal="center" wrapText="1"/>
    </xf>
    <xf numFmtId="0" fontId="31" fillId="8" borderId="4" xfId="0" applyFont="1" applyFill="1" applyBorder="1" applyAlignment="1">
      <alignment horizontal="center" wrapText="1"/>
    </xf>
    <xf numFmtId="0" fontId="31" fillId="8" borderId="0" xfId="0" applyFont="1" applyFill="1" applyBorder="1" applyAlignment="1">
      <alignment horizontal="center" wrapText="1"/>
    </xf>
    <xf numFmtId="0" fontId="31" fillId="8" borderId="5" xfId="0" applyFont="1" applyFill="1" applyBorder="1" applyAlignment="1">
      <alignment horizontal="center" wrapText="1"/>
    </xf>
    <xf numFmtId="0" fontId="31" fillId="8" borderId="62" xfId="0" applyFont="1" applyFill="1" applyBorder="1" applyAlignment="1">
      <alignment horizontal="center" wrapText="1"/>
    </xf>
    <xf numFmtId="0" fontId="31" fillId="8" borderId="63" xfId="0" applyFont="1" applyFill="1" applyBorder="1" applyAlignment="1">
      <alignment horizontal="center" wrapText="1"/>
    </xf>
    <xf numFmtId="0" fontId="31" fillId="8" borderId="64" xfId="0" applyFont="1" applyFill="1" applyBorder="1" applyAlignment="1">
      <alignment horizont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3" xfId="0" applyFont="1" applyBorder="1" applyAlignment="1">
      <alignment horizontal="center" vertical="center"/>
    </xf>
    <xf numFmtId="0" fontId="3" fillId="0" borderId="54" xfId="0" applyFont="1" applyBorder="1" applyAlignment="1">
      <alignment horizontal="center" vertical="center"/>
    </xf>
    <xf numFmtId="0" fontId="6" fillId="0" borderId="33" xfId="0" applyFont="1" applyBorder="1" applyAlignment="1">
      <alignment horizontal="center" vertical="center"/>
    </xf>
    <xf numFmtId="0" fontId="6" fillId="0" borderId="8" xfId="0" applyFont="1" applyBorder="1" applyAlignment="1">
      <alignment horizontal="center" vertical="center"/>
    </xf>
    <xf numFmtId="0" fontId="6" fillId="0" borderId="55"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0" fillId="6" borderId="0" xfId="0" applyFill="1" applyAlignment="1">
      <alignment horizontal="left" vertical="center" wrapText="1"/>
    </xf>
    <xf numFmtId="0" fontId="3" fillId="0" borderId="1" xfId="0" applyFont="1" applyBorder="1" applyAlignment="1">
      <alignment horizontal="center" vertical="center"/>
    </xf>
    <xf numFmtId="0" fontId="11" fillId="0" borderId="0" xfId="1" applyAlignment="1">
      <alignment horizontal="center" vertical="center"/>
    </xf>
    <xf numFmtId="0" fontId="3" fillId="0" borderId="56" xfId="0" applyFont="1" applyBorder="1" applyAlignment="1">
      <alignment horizontal="center" vertical="center"/>
    </xf>
    <xf numFmtId="0" fontId="3" fillId="0" borderId="8" xfId="0" applyFont="1" applyBorder="1" applyAlignment="1">
      <alignment horizontal="center" vertical="center"/>
    </xf>
    <xf numFmtId="0" fontId="3" fillId="0" borderId="57" xfId="0" applyFont="1" applyBorder="1" applyAlignment="1">
      <alignment horizontal="center" vertical="center"/>
    </xf>
    <xf numFmtId="0" fontId="0" fillId="6" borderId="0" xfId="0" applyFill="1" applyBorder="1" applyAlignment="1">
      <alignment horizontal="left" vertical="top" wrapText="1"/>
    </xf>
    <xf numFmtId="0" fontId="0" fillId="6" borderId="18" xfId="0" applyFill="1" applyBorder="1" applyAlignment="1">
      <alignment horizontal="left" vertical="top" wrapText="1"/>
    </xf>
    <xf numFmtId="0" fontId="11" fillId="6" borderId="0" xfId="1" applyFill="1" applyBorder="1" applyAlignment="1">
      <alignment horizontal="left"/>
    </xf>
    <xf numFmtId="0" fontId="11" fillId="6" borderId="18" xfId="1" applyFill="1" applyBorder="1" applyAlignment="1">
      <alignment horizontal="left"/>
    </xf>
    <xf numFmtId="0" fontId="0" fillId="6" borderId="0" xfId="0" applyFont="1" applyFill="1" applyBorder="1" applyAlignment="1">
      <alignment horizontal="left" vertical="top" wrapText="1"/>
    </xf>
    <xf numFmtId="0" fontId="0" fillId="6" borderId="18" xfId="0" applyFont="1" applyFill="1" applyBorder="1" applyAlignment="1">
      <alignment horizontal="left" vertical="top" wrapText="1"/>
    </xf>
    <xf numFmtId="0" fontId="0" fillId="6" borderId="0" xfId="0" applyFill="1" applyBorder="1" applyAlignment="1">
      <alignment vertical="top" wrapText="1"/>
    </xf>
    <xf numFmtId="0" fontId="0" fillId="6" borderId="58" xfId="0" applyFill="1" applyBorder="1" applyAlignment="1">
      <alignment vertical="top"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15" xfId="0" applyBorder="1"/>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1" fontId="11" fillId="0" borderId="0" xfId="1" applyNumberFormat="1" applyAlignment="1">
      <alignment horizontal="center" vertical="center" wrapText="1"/>
    </xf>
    <xf numFmtId="0" fontId="11" fillId="0" borderId="0" xfId="1" applyAlignment="1">
      <alignment horizontal="center" vertical="center" wrapText="1"/>
    </xf>
    <xf numFmtId="0" fontId="0" fillId="0" borderId="59" xfId="0" applyBorder="1" applyAlignment="1">
      <alignment horizontal="center"/>
    </xf>
    <xf numFmtId="0" fontId="0" fillId="0" borderId="61" xfId="0" applyBorder="1" applyAlignment="1">
      <alignment horizontal="center"/>
    </xf>
    <xf numFmtId="0" fontId="9" fillId="0" borderId="66" xfId="0" applyNumberFormat="1" applyFont="1" applyBorder="1" applyAlignment="1">
      <alignment horizontal="left" vertical="top" wrapText="1"/>
    </xf>
    <xf numFmtId="0" fontId="9" fillId="0" borderId="67" xfId="0" applyNumberFormat="1" applyFont="1" applyBorder="1" applyAlignment="1">
      <alignment horizontal="left" vertical="top" wrapText="1"/>
    </xf>
    <xf numFmtId="0" fontId="9" fillId="0" borderId="66" xfId="0" applyNumberFormat="1" applyFont="1" applyBorder="1" applyAlignment="1">
      <alignment horizontal="left" vertical="center" wrapText="1"/>
    </xf>
    <xf numFmtId="0" fontId="9" fillId="0" borderId="67" xfId="0" applyNumberFormat="1" applyFont="1" applyBorder="1" applyAlignment="1">
      <alignment horizontal="left" vertical="center" wrapText="1"/>
    </xf>
    <xf numFmtId="0" fontId="9" fillId="0" borderId="66" xfId="0" applyNumberFormat="1" applyFont="1" applyBorder="1" applyAlignment="1">
      <alignment horizontal="center" vertical="center" wrapText="1"/>
    </xf>
    <xf numFmtId="0" fontId="9" fillId="0" borderId="67" xfId="0" applyNumberFormat="1" applyFont="1" applyBorder="1" applyAlignment="1">
      <alignment horizontal="center" vertical="center" wrapText="1"/>
    </xf>
    <xf numFmtId="0" fontId="8" fillId="3"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1" fontId="11" fillId="0" borderId="0" xfId="1" applyNumberFormat="1" applyAlignment="1">
      <alignment horizontal="center" vertical="center"/>
    </xf>
    <xf numFmtId="0" fontId="0" fillId="6" borderId="0" xfId="0" applyFill="1" applyBorder="1" applyAlignment="1">
      <alignment horizontal="left" vertical="top"/>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6" borderId="0" xfId="0" applyFill="1" applyAlignment="1">
      <alignment horizontal="left" vertical="top" wrapText="1"/>
    </xf>
    <xf numFmtId="0" fontId="0" fillId="0" borderId="64" xfId="0" quotePrefix="1" applyBorder="1"/>
  </cellXfs>
  <cellStyles count="2">
    <cellStyle name="Lien hypertexte" xfId="1" builtinId="8"/>
    <cellStyle name="Normal" xfId="0" builtinId="0"/>
  </cellStyles>
  <dxfs count="14">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9999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CH"/>
              <a:t>Typical spin graph for SU8 coating</a:t>
            </a:r>
          </a:p>
        </c:rich>
      </c:tx>
      <c:layout>
        <c:manualLayout>
          <c:xMode val="edge"/>
          <c:yMode val="edge"/>
          <c:x val="0.28304252492129256"/>
          <c:y val="6.3742690058479531E-2"/>
        </c:manualLayout>
      </c:layout>
      <c:overlay val="0"/>
      <c:spPr>
        <a:noFill/>
        <a:ln w="25400">
          <a:noFill/>
        </a:ln>
      </c:spPr>
    </c:title>
    <c:autoTitleDeleted val="0"/>
    <c:plotArea>
      <c:layout>
        <c:manualLayout>
          <c:layoutTarget val="inner"/>
          <c:xMode val="edge"/>
          <c:yMode val="edge"/>
          <c:x val="6.4837944712160464E-2"/>
          <c:y val="0.2298249551551452"/>
          <c:w val="0.90274369176161873"/>
          <c:h val="0.70877314414258519"/>
        </c:manualLayout>
      </c:layout>
      <c:scatterChart>
        <c:scatterStyle val="lineMarker"/>
        <c:varyColors val="0"/>
        <c:ser>
          <c:idx val="0"/>
          <c:order val="0"/>
          <c:tx>
            <c:strRef>
              <c:f>'Spin graph'!$C$9</c:f>
              <c:strCache>
                <c:ptCount val="1"/>
                <c:pt idx="0">
                  <c:v>y</c:v>
                </c:pt>
              </c:strCache>
            </c:strRef>
          </c:tx>
          <c:spPr>
            <a:ln w="25400">
              <a:solidFill>
                <a:srgbClr val="666699"/>
              </a:solidFill>
              <a:prstDash val="solid"/>
            </a:ln>
          </c:spPr>
          <c:marker>
            <c:symbol val="none"/>
          </c:marker>
          <c:xVal>
            <c:numRef>
              <c:f>'Spin graph'!$B$10:$B$18</c:f>
              <c:numCache>
                <c:formatCode>General</c:formatCode>
                <c:ptCount val="9"/>
                <c:pt idx="0">
                  <c:v>0</c:v>
                </c:pt>
                <c:pt idx="1">
                  <c:v>5</c:v>
                </c:pt>
                <c:pt idx="2">
                  <c:v>10</c:v>
                </c:pt>
                <c:pt idx="3">
                  <c:v>25</c:v>
                </c:pt>
                <c:pt idx="4">
                  <c:v>65</c:v>
                </c:pt>
                <c:pt idx="5">
                  <c:v>66</c:v>
                </c:pt>
                <c:pt idx="6">
                  <c:v>67</c:v>
                </c:pt>
                <c:pt idx="7">
                  <c:v>72</c:v>
                </c:pt>
                <c:pt idx="8">
                  <c:v>92</c:v>
                </c:pt>
              </c:numCache>
            </c:numRef>
          </c:xVal>
          <c:yVal>
            <c:numRef>
              <c:f>'Spin graph'!$C$10:$C$18</c:f>
              <c:numCache>
                <c:formatCode>General</c:formatCode>
                <c:ptCount val="9"/>
                <c:pt idx="0">
                  <c:v>0</c:v>
                </c:pt>
                <c:pt idx="1">
                  <c:v>500</c:v>
                </c:pt>
                <c:pt idx="2">
                  <c:v>500</c:v>
                </c:pt>
                <c:pt idx="3">
                  <c:v>2000</c:v>
                </c:pt>
                <c:pt idx="4">
                  <c:v>2000</c:v>
                </c:pt>
                <c:pt idx="5">
                  <c:v>3000</c:v>
                </c:pt>
                <c:pt idx="6">
                  <c:v>2000</c:v>
                </c:pt>
                <c:pt idx="7">
                  <c:v>2000</c:v>
                </c:pt>
                <c:pt idx="8">
                  <c:v>0</c:v>
                </c:pt>
              </c:numCache>
            </c:numRef>
          </c:yVal>
          <c:smooth val="0"/>
          <c:extLst>
            <c:ext xmlns:c16="http://schemas.microsoft.com/office/drawing/2014/chart" uri="{C3380CC4-5D6E-409C-BE32-E72D297353CC}">
              <c16:uniqueId val="{00000000-CA24-4B25-8B79-80F3CD424F38}"/>
            </c:ext>
          </c:extLst>
        </c:ser>
        <c:dLbls>
          <c:showLegendKey val="0"/>
          <c:showVal val="0"/>
          <c:showCatName val="0"/>
          <c:showSerName val="0"/>
          <c:showPercent val="0"/>
          <c:showBubbleSize val="0"/>
        </c:dLbls>
        <c:axId val="133091712"/>
        <c:axId val="133094016"/>
      </c:scatterChart>
      <c:valAx>
        <c:axId val="1330917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CH"/>
          </a:p>
        </c:txPr>
        <c:crossAx val="133094016"/>
        <c:crossesAt val="0"/>
        <c:crossBetween val="midCat"/>
      </c:valAx>
      <c:valAx>
        <c:axId val="133094016"/>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CH"/>
          </a:p>
        </c:txPr>
        <c:crossAx val="133091712"/>
        <c:crossesAt val="0"/>
        <c:crossBetween val="midCat"/>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CH"/>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mr-DWL-40'!$A$3:$A$7</c:f>
              <c:numCache>
                <c:formatCode>General</c:formatCode>
                <c:ptCount val="5"/>
                <c:pt idx="0">
                  <c:v>1000</c:v>
                </c:pt>
                <c:pt idx="1">
                  <c:v>2000</c:v>
                </c:pt>
                <c:pt idx="2">
                  <c:v>3000</c:v>
                </c:pt>
                <c:pt idx="3">
                  <c:v>4000</c:v>
                </c:pt>
                <c:pt idx="4">
                  <c:v>5000</c:v>
                </c:pt>
              </c:numCache>
            </c:numRef>
          </c:xVal>
          <c:yVal>
            <c:numRef>
              <c:f>'Results mr-DWL-40'!$B$3:$B$7</c:f>
              <c:numCache>
                <c:formatCode>General</c:formatCode>
                <c:ptCount val="5"/>
                <c:pt idx="0">
                  <c:v>80</c:v>
                </c:pt>
                <c:pt idx="1">
                  <c:v>39</c:v>
                </c:pt>
                <c:pt idx="2">
                  <c:v>27</c:v>
                </c:pt>
                <c:pt idx="3">
                  <c:v>19</c:v>
                </c:pt>
                <c:pt idx="4">
                  <c:v>16</c:v>
                </c:pt>
              </c:numCache>
            </c:numRef>
          </c:yVal>
          <c:smooth val="0"/>
          <c:extLst>
            <c:ext xmlns:c16="http://schemas.microsoft.com/office/drawing/2014/chart" uri="{C3380CC4-5D6E-409C-BE32-E72D297353CC}">
              <c16:uniqueId val="{00000000-B31E-4969-AF7D-89B88EEA2AAD}"/>
            </c:ext>
          </c:extLst>
        </c:ser>
        <c:dLbls>
          <c:showLegendKey val="0"/>
          <c:showVal val="0"/>
          <c:showCatName val="0"/>
          <c:showSerName val="0"/>
          <c:showPercent val="0"/>
          <c:showBubbleSize val="0"/>
        </c:dLbls>
        <c:axId val="115319168"/>
        <c:axId val="115320704"/>
      </c:scatterChart>
      <c:valAx>
        <c:axId val="115319168"/>
        <c:scaling>
          <c:orientation val="minMax"/>
        </c:scaling>
        <c:delete val="0"/>
        <c:axPos val="b"/>
        <c:numFmt formatCode="General" sourceLinked="1"/>
        <c:majorTickMark val="out"/>
        <c:minorTickMark val="none"/>
        <c:tickLblPos val="nextTo"/>
        <c:crossAx val="115320704"/>
        <c:crosses val="autoZero"/>
        <c:crossBetween val="midCat"/>
      </c:valAx>
      <c:valAx>
        <c:axId val="115320704"/>
        <c:scaling>
          <c:orientation val="minMax"/>
        </c:scaling>
        <c:delete val="0"/>
        <c:axPos val="l"/>
        <c:majorGridlines/>
        <c:numFmt formatCode="General" sourceLinked="1"/>
        <c:majorTickMark val="out"/>
        <c:minorTickMark val="none"/>
        <c:tickLblPos val="nextTo"/>
        <c:crossAx val="1153191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mr-DWL-5'!$A$3:$A$7</c:f>
              <c:numCache>
                <c:formatCode>General</c:formatCode>
                <c:ptCount val="5"/>
                <c:pt idx="0">
                  <c:v>1000</c:v>
                </c:pt>
                <c:pt idx="1">
                  <c:v>2000</c:v>
                </c:pt>
                <c:pt idx="2">
                  <c:v>3000</c:v>
                </c:pt>
                <c:pt idx="3">
                  <c:v>4000</c:v>
                </c:pt>
                <c:pt idx="4">
                  <c:v>5000</c:v>
                </c:pt>
              </c:numCache>
            </c:numRef>
          </c:xVal>
          <c:yVal>
            <c:numRef>
              <c:f>'Results mr-DWL-5'!$B$3:$B$7</c:f>
              <c:numCache>
                <c:formatCode>General</c:formatCode>
                <c:ptCount val="5"/>
                <c:pt idx="0">
                  <c:v>13</c:v>
                </c:pt>
                <c:pt idx="1">
                  <c:v>7.5</c:v>
                </c:pt>
                <c:pt idx="2">
                  <c:v>5</c:v>
                </c:pt>
                <c:pt idx="3">
                  <c:v>4</c:v>
                </c:pt>
                <c:pt idx="4">
                  <c:v>3.5</c:v>
                </c:pt>
              </c:numCache>
            </c:numRef>
          </c:yVal>
          <c:smooth val="0"/>
          <c:extLst>
            <c:ext xmlns:c16="http://schemas.microsoft.com/office/drawing/2014/chart" uri="{C3380CC4-5D6E-409C-BE32-E72D297353CC}">
              <c16:uniqueId val="{00000000-2530-4D51-B462-C1D7CED3EF35}"/>
            </c:ext>
          </c:extLst>
        </c:ser>
        <c:dLbls>
          <c:showLegendKey val="0"/>
          <c:showVal val="0"/>
          <c:showCatName val="0"/>
          <c:showSerName val="0"/>
          <c:showPercent val="0"/>
          <c:showBubbleSize val="0"/>
        </c:dLbls>
        <c:axId val="115329664"/>
        <c:axId val="115605888"/>
      </c:scatterChart>
      <c:valAx>
        <c:axId val="115329664"/>
        <c:scaling>
          <c:orientation val="minMax"/>
        </c:scaling>
        <c:delete val="0"/>
        <c:axPos val="b"/>
        <c:numFmt formatCode="General" sourceLinked="1"/>
        <c:majorTickMark val="out"/>
        <c:minorTickMark val="none"/>
        <c:tickLblPos val="nextTo"/>
        <c:crossAx val="115605888"/>
        <c:crosses val="autoZero"/>
        <c:crossBetween val="midCat"/>
      </c:valAx>
      <c:valAx>
        <c:axId val="115605888"/>
        <c:scaling>
          <c:orientation val="minMax"/>
        </c:scaling>
        <c:delete val="0"/>
        <c:axPos val="l"/>
        <c:majorGridlines/>
        <c:numFmt formatCode="General" sourceLinked="1"/>
        <c:majorTickMark val="out"/>
        <c:minorTickMark val="none"/>
        <c:tickLblPos val="nextTo"/>
        <c:crossAx val="1153296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3005'!$A$3:$A$7</c:f>
              <c:numCache>
                <c:formatCode>General</c:formatCode>
                <c:ptCount val="5"/>
                <c:pt idx="0">
                  <c:v>1000</c:v>
                </c:pt>
                <c:pt idx="1">
                  <c:v>2000</c:v>
                </c:pt>
                <c:pt idx="2">
                  <c:v>3000</c:v>
                </c:pt>
                <c:pt idx="3">
                  <c:v>4000</c:v>
                </c:pt>
                <c:pt idx="4">
                  <c:v>5000</c:v>
                </c:pt>
              </c:numCache>
            </c:numRef>
          </c:xVal>
          <c:yVal>
            <c:numRef>
              <c:f>'Results Su8 3005'!$B$3:$B$7</c:f>
              <c:numCache>
                <c:formatCode>General</c:formatCode>
                <c:ptCount val="5"/>
                <c:pt idx="0">
                  <c:v>10</c:v>
                </c:pt>
                <c:pt idx="1">
                  <c:v>7.5</c:v>
                </c:pt>
                <c:pt idx="2">
                  <c:v>6</c:v>
                </c:pt>
                <c:pt idx="3">
                  <c:v>5</c:v>
                </c:pt>
                <c:pt idx="4">
                  <c:v>4.5</c:v>
                </c:pt>
              </c:numCache>
            </c:numRef>
          </c:yVal>
          <c:smooth val="0"/>
          <c:extLst>
            <c:ext xmlns:c16="http://schemas.microsoft.com/office/drawing/2014/chart" uri="{C3380CC4-5D6E-409C-BE32-E72D297353CC}">
              <c16:uniqueId val="{00000000-C1A8-4316-9B66-193A0E36C551}"/>
            </c:ext>
          </c:extLst>
        </c:ser>
        <c:dLbls>
          <c:showLegendKey val="0"/>
          <c:showVal val="0"/>
          <c:showCatName val="0"/>
          <c:showSerName val="0"/>
          <c:showPercent val="0"/>
          <c:showBubbleSize val="0"/>
        </c:dLbls>
        <c:axId val="115659904"/>
        <c:axId val="115661440"/>
      </c:scatterChart>
      <c:valAx>
        <c:axId val="115659904"/>
        <c:scaling>
          <c:orientation val="minMax"/>
        </c:scaling>
        <c:delete val="0"/>
        <c:axPos val="b"/>
        <c:numFmt formatCode="General" sourceLinked="1"/>
        <c:majorTickMark val="out"/>
        <c:minorTickMark val="none"/>
        <c:tickLblPos val="nextTo"/>
        <c:crossAx val="115661440"/>
        <c:crosses val="autoZero"/>
        <c:crossBetween val="midCat"/>
      </c:valAx>
      <c:valAx>
        <c:axId val="115661440"/>
        <c:scaling>
          <c:orientation val="minMax"/>
        </c:scaling>
        <c:delete val="0"/>
        <c:axPos val="l"/>
        <c:majorGridlines/>
        <c:numFmt formatCode="General" sourceLinked="1"/>
        <c:majorTickMark val="out"/>
        <c:minorTickMark val="none"/>
        <c:tickLblPos val="nextTo"/>
        <c:crossAx val="1156599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3010'!$A$3:$A$7</c:f>
              <c:numCache>
                <c:formatCode>General</c:formatCode>
                <c:ptCount val="5"/>
                <c:pt idx="0">
                  <c:v>1000</c:v>
                </c:pt>
                <c:pt idx="1">
                  <c:v>2000</c:v>
                </c:pt>
                <c:pt idx="2">
                  <c:v>3000</c:v>
                </c:pt>
                <c:pt idx="3">
                  <c:v>4000</c:v>
                </c:pt>
                <c:pt idx="4">
                  <c:v>5000</c:v>
                </c:pt>
              </c:numCache>
            </c:numRef>
          </c:xVal>
          <c:yVal>
            <c:numRef>
              <c:f>'Results Su8 3010'!$B$3:$B$7</c:f>
              <c:numCache>
                <c:formatCode>General</c:formatCode>
                <c:ptCount val="5"/>
                <c:pt idx="0">
                  <c:v>18.5</c:v>
                </c:pt>
                <c:pt idx="1">
                  <c:v>13</c:v>
                </c:pt>
                <c:pt idx="2">
                  <c:v>10.7</c:v>
                </c:pt>
                <c:pt idx="3">
                  <c:v>9.5</c:v>
                </c:pt>
                <c:pt idx="4">
                  <c:v>8.6999999999999993</c:v>
                </c:pt>
              </c:numCache>
            </c:numRef>
          </c:yVal>
          <c:smooth val="0"/>
          <c:extLst>
            <c:ext xmlns:c16="http://schemas.microsoft.com/office/drawing/2014/chart" uri="{C3380CC4-5D6E-409C-BE32-E72D297353CC}">
              <c16:uniqueId val="{00000000-D1CB-4E25-A669-6254AD4ABBBB}"/>
            </c:ext>
          </c:extLst>
        </c:ser>
        <c:dLbls>
          <c:showLegendKey val="0"/>
          <c:showVal val="0"/>
          <c:showCatName val="0"/>
          <c:showSerName val="0"/>
          <c:showPercent val="0"/>
          <c:showBubbleSize val="0"/>
        </c:dLbls>
        <c:axId val="115682688"/>
        <c:axId val="115684480"/>
      </c:scatterChart>
      <c:valAx>
        <c:axId val="115682688"/>
        <c:scaling>
          <c:orientation val="minMax"/>
        </c:scaling>
        <c:delete val="0"/>
        <c:axPos val="b"/>
        <c:numFmt formatCode="General" sourceLinked="1"/>
        <c:majorTickMark val="out"/>
        <c:minorTickMark val="none"/>
        <c:tickLblPos val="nextTo"/>
        <c:crossAx val="115684480"/>
        <c:crosses val="autoZero"/>
        <c:crossBetween val="midCat"/>
      </c:valAx>
      <c:valAx>
        <c:axId val="115684480"/>
        <c:scaling>
          <c:orientation val="minMax"/>
        </c:scaling>
        <c:delete val="0"/>
        <c:axPos val="l"/>
        <c:majorGridlines/>
        <c:numFmt formatCode="General" sourceLinked="1"/>
        <c:majorTickMark val="out"/>
        <c:minorTickMark val="none"/>
        <c:tickLblPos val="nextTo"/>
        <c:crossAx val="1156826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3025'!$A$3:$A$7</c:f>
              <c:numCache>
                <c:formatCode>General</c:formatCode>
                <c:ptCount val="5"/>
                <c:pt idx="0">
                  <c:v>1000</c:v>
                </c:pt>
                <c:pt idx="1">
                  <c:v>2000</c:v>
                </c:pt>
                <c:pt idx="2">
                  <c:v>3000</c:v>
                </c:pt>
                <c:pt idx="3">
                  <c:v>4000</c:v>
                </c:pt>
                <c:pt idx="4">
                  <c:v>5000</c:v>
                </c:pt>
              </c:numCache>
            </c:numRef>
          </c:xVal>
          <c:yVal>
            <c:numRef>
              <c:f>'Results Su8 3025'!$B$3:$B$7</c:f>
              <c:numCache>
                <c:formatCode>General</c:formatCode>
                <c:ptCount val="5"/>
                <c:pt idx="0">
                  <c:v>68</c:v>
                </c:pt>
                <c:pt idx="1">
                  <c:v>39</c:v>
                </c:pt>
                <c:pt idx="2">
                  <c:v>27</c:v>
                </c:pt>
                <c:pt idx="3">
                  <c:v>20</c:v>
                </c:pt>
                <c:pt idx="4">
                  <c:v>17</c:v>
                </c:pt>
              </c:numCache>
            </c:numRef>
          </c:yVal>
          <c:smooth val="0"/>
          <c:extLst>
            <c:ext xmlns:c16="http://schemas.microsoft.com/office/drawing/2014/chart" uri="{C3380CC4-5D6E-409C-BE32-E72D297353CC}">
              <c16:uniqueId val="{00000000-6C10-411A-8594-3F2263D12828}"/>
            </c:ext>
          </c:extLst>
        </c:ser>
        <c:dLbls>
          <c:showLegendKey val="0"/>
          <c:showVal val="0"/>
          <c:showCatName val="0"/>
          <c:showSerName val="0"/>
          <c:showPercent val="0"/>
          <c:showBubbleSize val="0"/>
        </c:dLbls>
        <c:axId val="115730688"/>
        <c:axId val="116264960"/>
      </c:scatterChart>
      <c:valAx>
        <c:axId val="115730688"/>
        <c:scaling>
          <c:orientation val="minMax"/>
        </c:scaling>
        <c:delete val="0"/>
        <c:axPos val="b"/>
        <c:numFmt formatCode="General" sourceLinked="1"/>
        <c:majorTickMark val="out"/>
        <c:minorTickMark val="none"/>
        <c:tickLblPos val="nextTo"/>
        <c:crossAx val="116264960"/>
        <c:crosses val="autoZero"/>
        <c:crossBetween val="midCat"/>
      </c:valAx>
      <c:valAx>
        <c:axId val="116264960"/>
        <c:scaling>
          <c:orientation val="minMax"/>
        </c:scaling>
        <c:delete val="0"/>
        <c:axPos val="l"/>
        <c:majorGridlines/>
        <c:numFmt formatCode="General" sourceLinked="1"/>
        <c:majorTickMark val="out"/>
        <c:minorTickMark val="none"/>
        <c:tickLblPos val="nextTo"/>
        <c:crossAx val="1157306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3035'!$A$3:$A$7</c:f>
              <c:numCache>
                <c:formatCode>General</c:formatCode>
                <c:ptCount val="5"/>
                <c:pt idx="0">
                  <c:v>1000</c:v>
                </c:pt>
                <c:pt idx="1">
                  <c:v>2000</c:v>
                </c:pt>
                <c:pt idx="2">
                  <c:v>3000</c:v>
                </c:pt>
                <c:pt idx="3">
                  <c:v>4000</c:v>
                </c:pt>
                <c:pt idx="4">
                  <c:v>5000</c:v>
                </c:pt>
              </c:numCache>
            </c:numRef>
          </c:xVal>
          <c:yVal>
            <c:numRef>
              <c:f>'Results Su8 3035'!$B$3:$B$7</c:f>
              <c:numCache>
                <c:formatCode>General</c:formatCode>
                <c:ptCount val="5"/>
                <c:pt idx="0">
                  <c:v>87.5</c:v>
                </c:pt>
                <c:pt idx="1">
                  <c:v>50</c:v>
                </c:pt>
                <c:pt idx="2">
                  <c:v>33.5</c:v>
                </c:pt>
                <c:pt idx="3">
                  <c:v>25</c:v>
                </c:pt>
                <c:pt idx="4">
                  <c:v>21</c:v>
                </c:pt>
              </c:numCache>
            </c:numRef>
          </c:yVal>
          <c:smooth val="0"/>
          <c:extLst>
            <c:ext xmlns:c16="http://schemas.microsoft.com/office/drawing/2014/chart" uri="{C3380CC4-5D6E-409C-BE32-E72D297353CC}">
              <c16:uniqueId val="{00000000-4E71-4C9F-96C4-4F299D15C478}"/>
            </c:ext>
          </c:extLst>
        </c:ser>
        <c:dLbls>
          <c:showLegendKey val="0"/>
          <c:showVal val="0"/>
          <c:showCatName val="0"/>
          <c:showSerName val="0"/>
          <c:showPercent val="0"/>
          <c:showBubbleSize val="0"/>
        </c:dLbls>
        <c:axId val="116278016"/>
        <c:axId val="116279552"/>
      </c:scatterChart>
      <c:valAx>
        <c:axId val="116278016"/>
        <c:scaling>
          <c:orientation val="minMax"/>
        </c:scaling>
        <c:delete val="0"/>
        <c:axPos val="b"/>
        <c:numFmt formatCode="General" sourceLinked="1"/>
        <c:majorTickMark val="out"/>
        <c:minorTickMark val="none"/>
        <c:tickLblPos val="nextTo"/>
        <c:crossAx val="116279552"/>
        <c:crosses val="autoZero"/>
        <c:crossBetween val="midCat"/>
      </c:valAx>
      <c:valAx>
        <c:axId val="116279552"/>
        <c:scaling>
          <c:orientation val="minMax"/>
        </c:scaling>
        <c:delete val="0"/>
        <c:axPos val="l"/>
        <c:majorGridlines/>
        <c:numFmt formatCode="General" sourceLinked="1"/>
        <c:majorTickMark val="out"/>
        <c:minorTickMark val="none"/>
        <c:tickLblPos val="nextTo"/>
        <c:crossAx val="11627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3050'!$A$3:$A$7</c:f>
              <c:numCache>
                <c:formatCode>General</c:formatCode>
                <c:ptCount val="5"/>
                <c:pt idx="0">
                  <c:v>1000</c:v>
                </c:pt>
                <c:pt idx="1">
                  <c:v>2000</c:v>
                </c:pt>
                <c:pt idx="2">
                  <c:v>3000</c:v>
                </c:pt>
                <c:pt idx="3">
                  <c:v>4000</c:v>
                </c:pt>
                <c:pt idx="4">
                  <c:v>5000</c:v>
                </c:pt>
              </c:numCache>
            </c:numRef>
          </c:xVal>
          <c:yVal>
            <c:numRef>
              <c:f>'Results Su8 3050'!$B$3:$B$7</c:f>
              <c:numCache>
                <c:formatCode>General</c:formatCode>
                <c:ptCount val="5"/>
                <c:pt idx="0">
                  <c:v>115</c:v>
                </c:pt>
                <c:pt idx="1">
                  <c:v>67.5</c:v>
                </c:pt>
                <c:pt idx="2">
                  <c:v>47.5</c:v>
                </c:pt>
                <c:pt idx="3">
                  <c:v>34</c:v>
                </c:pt>
                <c:pt idx="4">
                  <c:v>29</c:v>
                </c:pt>
              </c:numCache>
            </c:numRef>
          </c:yVal>
          <c:smooth val="0"/>
          <c:extLst>
            <c:ext xmlns:c16="http://schemas.microsoft.com/office/drawing/2014/chart" uri="{C3380CC4-5D6E-409C-BE32-E72D297353CC}">
              <c16:uniqueId val="{00000000-111E-4FC7-AAE5-3BD98AF998C9}"/>
            </c:ext>
          </c:extLst>
        </c:ser>
        <c:dLbls>
          <c:showLegendKey val="0"/>
          <c:showVal val="0"/>
          <c:showCatName val="0"/>
          <c:showSerName val="0"/>
          <c:showPercent val="0"/>
          <c:showBubbleSize val="0"/>
        </c:dLbls>
        <c:axId val="116411392"/>
        <c:axId val="116413184"/>
      </c:scatterChart>
      <c:valAx>
        <c:axId val="116411392"/>
        <c:scaling>
          <c:orientation val="minMax"/>
        </c:scaling>
        <c:delete val="0"/>
        <c:axPos val="b"/>
        <c:numFmt formatCode="General" sourceLinked="1"/>
        <c:majorTickMark val="out"/>
        <c:minorTickMark val="none"/>
        <c:tickLblPos val="nextTo"/>
        <c:crossAx val="116413184"/>
        <c:crosses val="autoZero"/>
        <c:crossBetween val="midCat"/>
      </c:valAx>
      <c:valAx>
        <c:axId val="116413184"/>
        <c:scaling>
          <c:orientation val="minMax"/>
        </c:scaling>
        <c:delete val="0"/>
        <c:axPos val="l"/>
        <c:majorGridlines/>
        <c:numFmt formatCode="General" sourceLinked="1"/>
        <c:majorTickMark val="out"/>
        <c:minorTickMark val="none"/>
        <c:tickLblPos val="nextTo"/>
        <c:crossAx val="1164113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257175</xdr:colOff>
      <xdr:row>13</xdr:row>
      <xdr:rowOff>147201</xdr:rowOff>
    </xdr:from>
    <xdr:to>
      <xdr:col>1</xdr:col>
      <xdr:colOff>466725</xdr:colOff>
      <xdr:row>15</xdr:row>
      <xdr:rowOff>36364</xdr:rowOff>
    </xdr:to>
    <xdr:sp macro="" textlink="">
      <xdr:nvSpPr>
        <xdr:cNvPr id="2" name="Forme automatique 1">
          <a:extLst>
            <a:ext uri="{FF2B5EF4-FFF2-40B4-BE49-F238E27FC236}">
              <a16:creationId xmlns:a16="http://schemas.microsoft.com/office/drawing/2014/main" id="{00000000-0008-0000-0100-000002000000}"/>
            </a:ext>
          </a:extLst>
        </xdr:cNvPr>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285750</xdr:colOff>
      <xdr:row>17</xdr:row>
      <xdr:rowOff>160189</xdr:rowOff>
    </xdr:from>
    <xdr:to>
      <xdr:col>1</xdr:col>
      <xdr:colOff>504825</xdr:colOff>
      <xdr:row>20</xdr:row>
      <xdr:rowOff>38100</xdr:rowOff>
    </xdr:to>
    <xdr:sp macro="" textlink="">
      <xdr:nvSpPr>
        <xdr:cNvPr id="3" name="Forme automatique 2">
          <a:extLst>
            <a:ext uri="{FF2B5EF4-FFF2-40B4-BE49-F238E27FC236}">
              <a16:creationId xmlns:a16="http://schemas.microsoft.com/office/drawing/2014/main" id="{00000000-0008-0000-0100-000003000000}"/>
            </a:ext>
          </a:extLst>
        </xdr:cNvPr>
        <xdr:cNvSpPr>
          <a:spLocks noChangeArrowheads="1"/>
        </xdr:cNvSpPr>
      </xdr:nvSpPr>
      <xdr:spPr bwMode="auto">
        <a:xfrm>
          <a:off x="1057275" y="3160564"/>
          <a:ext cx="219075" cy="449411"/>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266700</xdr:colOff>
      <xdr:row>26</xdr:row>
      <xdr:rowOff>171450</xdr:rowOff>
    </xdr:from>
    <xdr:to>
      <xdr:col>1</xdr:col>
      <xdr:colOff>485775</xdr:colOff>
      <xdr:row>30</xdr:row>
      <xdr:rowOff>23376</xdr:rowOff>
    </xdr:to>
    <xdr:sp macro="" textlink="">
      <xdr:nvSpPr>
        <xdr:cNvPr id="4" name="Forme automatique 3">
          <a:extLst>
            <a:ext uri="{FF2B5EF4-FFF2-40B4-BE49-F238E27FC236}">
              <a16:creationId xmlns:a16="http://schemas.microsoft.com/office/drawing/2014/main" id="{00000000-0008-0000-0100-000004000000}"/>
            </a:ext>
          </a:extLst>
        </xdr:cNvPr>
        <xdr:cNvSpPr>
          <a:spLocks noChangeArrowheads="1"/>
        </xdr:cNvSpPr>
      </xdr:nvSpPr>
      <xdr:spPr bwMode="auto">
        <a:xfrm>
          <a:off x="1038225" y="4505325"/>
          <a:ext cx="219075" cy="613926"/>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32</xdr:row>
      <xdr:rowOff>160189</xdr:rowOff>
    </xdr:from>
    <xdr:to>
      <xdr:col>1</xdr:col>
      <xdr:colOff>476250</xdr:colOff>
      <xdr:row>34</xdr:row>
      <xdr:rowOff>39828</xdr:rowOff>
    </xdr:to>
    <xdr:sp macro="" textlink="">
      <xdr:nvSpPr>
        <xdr:cNvPr id="5" name="Forme automatique 4">
          <a:extLst>
            <a:ext uri="{FF2B5EF4-FFF2-40B4-BE49-F238E27FC236}">
              <a16:creationId xmlns:a16="http://schemas.microsoft.com/office/drawing/2014/main" id="{00000000-0008-0000-0100-000005000000}"/>
            </a:ext>
          </a:extLst>
        </xdr:cNvPr>
        <xdr:cNvSpPr>
          <a:spLocks noChangeArrowheads="1"/>
        </xdr:cNvSpPr>
      </xdr:nvSpPr>
      <xdr:spPr bwMode="auto">
        <a:xfrm>
          <a:off x="1047750" y="5036989"/>
          <a:ext cx="200025" cy="2225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36</xdr:row>
      <xdr:rowOff>156725</xdr:rowOff>
    </xdr:from>
    <xdr:to>
      <xdr:col>1</xdr:col>
      <xdr:colOff>476250</xdr:colOff>
      <xdr:row>38</xdr:row>
      <xdr:rowOff>20778</xdr:rowOff>
    </xdr:to>
    <xdr:sp macro="" textlink="">
      <xdr:nvSpPr>
        <xdr:cNvPr id="6" name="Forme automatique 5">
          <a:extLst>
            <a:ext uri="{FF2B5EF4-FFF2-40B4-BE49-F238E27FC236}">
              <a16:creationId xmlns:a16="http://schemas.microsoft.com/office/drawing/2014/main" id="{00000000-0008-0000-0100-000006000000}"/>
            </a:ext>
          </a:extLst>
        </xdr:cNvPr>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40</xdr:row>
      <xdr:rowOff>147200</xdr:rowOff>
    </xdr:from>
    <xdr:to>
      <xdr:col>1</xdr:col>
      <xdr:colOff>476250</xdr:colOff>
      <xdr:row>42</xdr:row>
      <xdr:rowOff>11253</xdr:rowOff>
    </xdr:to>
    <xdr:sp macro="" textlink="">
      <xdr:nvSpPr>
        <xdr:cNvPr id="7" name="Forme automatique 6">
          <a:extLst>
            <a:ext uri="{FF2B5EF4-FFF2-40B4-BE49-F238E27FC236}">
              <a16:creationId xmlns:a16="http://schemas.microsoft.com/office/drawing/2014/main" id="{00000000-0008-0000-0100-000007000000}"/>
            </a:ext>
          </a:extLst>
        </xdr:cNvPr>
        <xdr:cNvSpPr>
          <a:spLocks noChangeArrowheads="1"/>
        </xdr:cNvSpPr>
      </xdr:nvSpPr>
      <xdr:spPr bwMode="auto">
        <a:xfrm>
          <a:off x="1047750" y="635750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22</xdr:row>
      <xdr:rowOff>171450</xdr:rowOff>
    </xdr:from>
    <xdr:to>
      <xdr:col>1</xdr:col>
      <xdr:colOff>476250</xdr:colOff>
      <xdr:row>24</xdr:row>
      <xdr:rowOff>38100</xdr:rowOff>
    </xdr:to>
    <xdr:sp macro="" textlink="">
      <xdr:nvSpPr>
        <xdr:cNvPr id="8" name="Forme automatique 4">
          <a:extLst>
            <a:ext uri="{FF2B5EF4-FFF2-40B4-BE49-F238E27FC236}">
              <a16:creationId xmlns:a16="http://schemas.microsoft.com/office/drawing/2014/main" id="{00000000-0008-0000-0100-000008000000}"/>
            </a:ext>
          </a:extLst>
        </xdr:cNvPr>
        <xdr:cNvSpPr>
          <a:spLocks noChangeArrowheads="1"/>
        </xdr:cNvSpPr>
      </xdr:nvSpPr>
      <xdr:spPr bwMode="auto">
        <a:xfrm>
          <a:off x="1047750" y="4124325"/>
          <a:ext cx="200025" cy="247650"/>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2788104</xdr:colOff>
      <xdr:row>6</xdr:row>
      <xdr:rowOff>9525</xdr:rowOff>
    </xdr:from>
    <xdr:to>
      <xdr:col>3</xdr:col>
      <xdr:colOff>1922916</xdr:colOff>
      <xdr:row>6</xdr:row>
      <xdr:rowOff>1449525</xdr:rowOff>
    </xdr:to>
    <xdr:pic>
      <xdr:nvPicPr>
        <xdr:cNvPr id="2" name="Imag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55354" y="495300"/>
          <a:ext cx="1925637"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6804</xdr:colOff>
      <xdr:row>7</xdr:row>
      <xdr:rowOff>0</xdr:rowOff>
    </xdr:from>
    <xdr:to>
      <xdr:col>3</xdr:col>
      <xdr:colOff>1931051</xdr:colOff>
      <xdr:row>7</xdr:row>
      <xdr:rowOff>1440000</xdr:rowOff>
    </xdr:to>
    <xdr:pic>
      <xdr:nvPicPr>
        <xdr:cNvPr id="4" name="Image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64879" y="1907722"/>
          <a:ext cx="1924247"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3</xdr:col>
      <xdr:colOff>1926378</xdr:colOff>
      <xdr:row>7</xdr:row>
      <xdr:rowOff>1440000</xdr:rowOff>
    </xdr:to>
    <xdr:pic>
      <xdr:nvPicPr>
        <xdr:cNvPr id="5" name="Image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58075" y="3333751"/>
          <a:ext cx="192637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7</xdr:row>
      <xdr:rowOff>9524</xdr:rowOff>
    </xdr:from>
    <xdr:to>
      <xdr:col>3</xdr:col>
      <xdr:colOff>1935904</xdr:colOff>
      <xdr:row>7</xdr:row>
      <xdr:rowOff>1449524</xdr:rowOff>
    </xdr:to>
    <xdr:pic>
      <xdr:nvPicPr>
        <xdr:cNvPr id="6" name="Image 5">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600" y="4752974"/>
          <a:ext cx="1926379"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8</xdr:row>
      <xdr:rowOff>9525</xdr:rowOff>
    </xdr:from>
    <xdr:to>
      <xdr:col>3</xdr:col>
      <xdr:colOff>1923188</xdr:colOff>
      <xdr:row>8</xdr:row>
      <xdr:rowOff>1449525</xdr:rowOff>
    </xdr:to>
    <xdr:pic>
      <xdr:nvPicPr>
        <xdr:cNvPr id="7" name="Imag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6553200"/>
          <a:ext cx="1913663"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6804</xdr:colOff>
      <xdr:row>9</xdr:row>
      <xdr:rowOff>2722</xdr:rowOff>
    </xdr:from>
    <xdr:to>
      <xdr:col>3</xdr:col>
      <xdr:colOff>1931051</xdr:colOff>
      <xdr:row>9</xdr:row>
      <xdr:rowOff>1442722</xdr:rowOff>
    </xdr:to>
    <xdr:pic>
      <xdr:nvPicPr>
        <xdr:cNvPr id="8" name="Image 7">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64879" y="4727122"/>
          <a:ext cx="1924247"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xdr:row>
      <xdr:rowOff>9526</xdr:rowOff>
    </xdr:from>
    <xdr:to>
      <xdr:col>3</xdr:col>
      <xdr:colOff>1926378</xdr:colOff>
      <xdr:row>10</xdr:row>
      <xdr:rowOff>1449526</xdr:rowOff>
    </xdr:to>
    <xdr:pic>
      <xdr:nvPicPr>
        <xdr:cNvPr id="9" name="Image 8">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58075" y="6248401"/>
          <a:ext cx="192637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15</xdr:row>
      <xdr:rowOff>147201</xdr:rowOff>
    </xdr:from>
    <xdr:to>
      <xdr:col>1</xdr:col>
      <xdr:colOff>466725</xdr:colOff>
      <xdr:row>17</xdr:row>
      <xdr:rowOff>36364</xdr:rowOff>
    </xdr:to>
    <xdr:sp macro="" textlink="">
      <xdr:nvSpPr>
        <xdr:cNvPr id="2" name="Forme automatique 1">
          <a:extLst>
            <a:ext uri="{FF2B5EF4-FFF2-40B4-BE49-F238E27FC236}">
              <a16:creationId xmlns:a16="http://schemas.microsoft.com/office/drawing/2014/main" id="{00000000-0008-0000-0200-000002000000}"/>
            </a:ext>
          </a:extLst>
        </xdr:cNvPr>
        <xdr:cNvSpPr>
          <a:spLocks noChangeArrowheads="1"/>
        </xdr:cNvSpPr>
      </xdr:nvSpPr>
      <xdr:spPr bwMode="auto">
        <a:xfrm>
          <a:off x="1028700" y="1852176"/>
          <a:ext cx="209550" cy="413038"/>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285750</xdr:colOff>
      <xdr:row>19</xdr:row>
      <xdr:rowOff>160189</xdr:rowOff>
    </xdr:from>
    <xdr:to>
      <xdr:col>1</xdr:col>
      <xdr:colOff>485775</xdr:colOff>
      <xdr:row>21</xdr:row>
      <xdr:rowOff>23376</xdr:rowOff>
    </xdr:to>
    <xdr:sp macro="" textlink="">
      <xdr:nvSpPr>
        <xdr:cNvPr id="3" name="Forme automatique 2">
          <a:extLst>
            <a:ext uri="{FF2B5EF4-FFF2-40B4-BE49-F238E27FC236}">
              <a16:creationId xmlns:a16="http://schemas.microsoft.com/office/drawing/2014/main" id="{00000000-0008-0000-0200-000003000000}"/>
            </a:ext>
          </a:extLst>
        </xdr:cNvPr>
        <xdr:cNvSpPr>
          <a:spLocks noChangeArrowheads="1"/>
        </xdr:cNvSpPr>
      </xdr:nvSpPr>
      <xdr:spPr bwMode="auto">
        <a:xfrm>
          <a:off x="1057275" y="3332014"/>
          <a:ext cx="200025" cy="206087"/>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23</xdr:row>
      <xdr:rowOff>166251</xdr:rowOff>
    </xdr:from>
    <xdr:to>
      <xdr:col>1</xdr:col>
      <xdr:colOff>485775</xdr:colOff>
      <xdr:row>27</xdr:row>
      <xdr:rowOff>23376</xdr:rowOff>
    </xdr:to>
    <xdr:sp macro="" textlink="">
      <xdr:nvSpPr>
        <xdr:cNvPr id="4" name="Forme automatique 3">
          <a:extLst>
            <a:ext uri="{FF2B5EF4-FFF2-40B4-BE49-F238E27FC236}">
              <a16:creationId xmlns:a16="http://schemas.microsoft.com/office/drawing/2014/main" id="{00000000-0008-0000-0200-000004000000}"/>
            </a:ext>
          </a:extLst>
        </xdr:cNvPr>
        <xdr:cNvSpPr>
          <a:spLocks noChangeArrowheads="1"/>
        </xdr:cNvSpPr>
      </xdr:nvSpPr>
      <xdr:spPr bwMode="auto">
        <a:xfrm>
          <a:off x="1047750" y="4004826"/>
          <a:ext cx="209550" cy="371475"/>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29</xdr:row>
      <xdr:rowOff>160189</xdr:rowOff>
    </xdr:from>
    <xdr:to>
      <xdr:col>1</xdr:col>
      <xdr:colOff>476250</xdr:colOff>
      <xdr:row>31</xdr:row>
      <xdr:rowOff>39828</xdr:rowOff>
    </xdr:to>
    <xdr:sp macro="" textlink="">
      <xdr:nvSpPr>
        <xdr:cNvPr id="5" name="Forme automatique 4">
          <a:extLst>
            <a:ext uri="{FF2B5EF4-FFF2-40B4-BE49-F238E27FC236}">
              <a16:creationId xmlns:a16="http://schemas.microsoft.com/office/drawing/2014/main" id="{00000000-0008-0000-0200-000005000000}"/>
            </a:ext>
          </a:extLst>
        </xdr:cNvPr>
        <xdr:cNvSpPr>
          <a:spLocks noChangeArrowheads="1"/>
        </xdr:cNvSpPr>
      </xdr:nvSpPr>
      <xdr:spPr bwMode="auto">
        <a:xfrm>
          <a:off x="1047750" y="4713139"/>
          <a:ext cx="200025" cy="384464"/>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33</xdr:row>
      <xdr:rowOff>156725</xdr:rowOff>
    </xdr:from>
    <xdr:to>
      <xdr:col>1</xdr:col>
      <xdr:colOff>476250</xdr:colOff>
      <xdr:row>35</xdr:row>
      <xdr:rowOff>20778</xdr:rowOff>
    </xdr:to>
    <xdr:sp macro="" textlink="">
      <xdr:nvSpPr>
        <xdr:cNvPr id="6" name="Forme automatique 5">
          <a:extLst>
            <a:ext uri="{FF2B5EF4-FFF2-40B4-BE49-F238E27FC236}">
              <a16:creationId xmlns:a16="http://schemas.microsoft.com/office/drawing/2014/main" id="{00000000-0008-0000-0200-000006000000}"/>
            </a:ext>
          </a:extLst>
        </xdr:cNvPr>
        <xdr:cNvSpPr>
          <a:spLocks noChangeArrowheads="1"/>
        </xdr:cNvSpPr>
      </xdr:nvSpPr>
      <xdr:spPr bwMode="auto">
        <a:xfrm>
          <a:off x="1047750" y="499542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37</xdr:row>
      <xdr:rowOff>147200</xdr:rowOff>
    </xdr:from>
    <xdr:to>
      <xdr:col>1</xdr:col>
      <xdr:colOff>476250</xdr:colOff>
      <xdr:row>39</xdr:row>
      <xdr:rowOff>11253</xdr:rowOff>
    </xdr:to>
    <xdr:sp macro="" textlink="">
      <xdr:nvSpPr>
        <xdr:cNvPr id="7" name="Forme automatique 6">
          <a:extLst>
            <a:ext uri="{FF2B5EF4-FFF2-40B4-BE49-F238E27FC236}">
              <a16:creationId xmlns:a16="http://schemas.microsoft.com/office/drawing/2014/main" id="{00000000-0008-0000-0200-000007000000}"/>
            </a:ext>
          </a:extLst>
        </xdr:cNvPr>
        <xdr:cNvSpPr>
          <a:spLocks noChangeArrowheads="1"/>
        </xdr:cNvSpPr>
      </xdr:nvSpPr>
      <xdr:spPr bwMode="auto">
        <a:xfrm>
          <a:off x="1047750" y="565265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15</xdr:row>
      <xdr:rowOff>147201</xdr:rowOff>
    </xdr:from>
    <xdr:to>
      <xdr:col>1</xdr:col>
      <xdr:colOff>466725</xdr:colOff>
      <xdr:row>17</xdr:row>
      <xdr:rowOff>36364</xdr:rowOff>
    </xdr:to>
    <xdr:sp macro="" textlink="">
      <xdr:nvSpPr>
        <xdr:cNvPr id="2" name="Forme automatique 1">
          <a:extLst>
            <a:ext uri="{FF2B5EF4-FFF2-40B4-BE49-F238E27FC236}">
              <a16:creationId xmlns:a16="http://schemas.microsoft.com/office/drawing/2014/main" id="{00000000-0008-0000-0400-000002000000}"/>
            </a:ext>
          </a:extLst>
        </xdr:cNvPr>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29</xdr:row>
      <xdr:rowOff>160189</xdr:rowOff>
    </xdr:from>
    <xdr:to>
      <xdr:col>1</xdr:col>
      <xdr:colOff>476250</xdr:colOff>
      <xdr:row>31</xdr:row>
      <xdr:rowOff>39828</xdr:rowOff>
    </xdr:to>
    <xdr:sp macro="" textlink="">
      <xdr:nvSpPr>
        <xdr:cNvPr id="3" name="Forme automatique 4">
          <a:extLst>
            <a:ext uri="{FF2B5EF4-FFF2-40B4-BE49-F238E27FC236}">
              <a16:creationId xmlns:a16="http://schemas.microsoft.com/office/drawing/2014/main" id="{00000000-0008-0000-0400-000003000000}"/>
            </a:ext>
          </a:extLst>
        </xdr:cNvPr>
        <xdr:cNvSpPr>
          <a:spLocks noChangeArrowheads="1"/>
        </xdr:cNvSpPr>
      </xdr:nvSpPr>
      <xdr:spPr bwMode="auto">
        <a:xfrm>
          <a:off x="1047750" y="5036989"/>
          <a:ext cx="200025" cy="2225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33</xdr:row>
      <xdr:rowOff>156725</xdr:rowOff>
    </xdr:from>
    <xdr:to>
      <xdr:col>1</xdr:col>
      <xdr:colOff>476250</xdr:colOff>
      <xdr:row>35</xdr:row>
      <xdr:rowOff>20778</xdr:rowOff>
    </xdr:to>
    <xdr:sp macro="" textlink="">
      <xdr:nvSpPr>
        <xdr:cNvPr id="4" name="Forme automatique 5">
          <a:extLst>
            <a:ext uri="{FF2B5EF4-FFF2-40B4-BE49-F238E27FC236}">
              <a16:creationId xmlns:a16="http://schemas.microsoft.com/office/drawing/2014/main" id="{00000000-0008-0000-0400-000004000000}"/>
            </a:ext>
          </a:extLst>
        </xdr:cNvPr>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37</xdr:row>
      <xdr:rowOff>147200</xdr:rowOff>
    </xdr:from>
    <xdr:to>
      <xdr:col>1</xdr:col>
      <xdr:colOff>476250</xdr:colOff>
      <xdr:row>39</xdr:row>
      <xdr:rowOff>11253</xdr:rowOff>
    </xdr:to>
    <xdr:sp macro="" textlink="">
      <xdr:nvSpPr>
        <xdr:cNvPr id="5" name="Forme automatique 6">
          <a:extLst>
            <a:ext uri="{FF2B5EF4-FFF2-40B4-BE49-F238E27FC236}">
              <a16:creationId xmlns:a16="http://schemas.microsoft.com/office/drawing/2014/main" id="{00000000-0008-0000-0400-000005000000}"/>
            </a:ext>
          </a:extLst>
        </xdr:cNvPr>
        <xdr:cNvSpPr>
          <a:spLocks noChangeArrowheads="1"/>
        </xdr:cNvSpPr>
      </xdr:nvSpPr>
      <xdr:spPr bwMode="auto">
        <a:xfrm>
          <a:off x="1047750" y="635750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257175</xdr:colOff>
      <xdr:row>15</xdr:row>
      <xdr:rowOff>147201</xdr:rowOff>
    </xdr:from>
    <xdr:to>
      <xdr:col>1</xdr:col>
      <xdr:colOff>466725</xdr:colOff>
      <xdr:row>17</xdr:row>
      <xdr:rowOff>36364</xdr:rowOff>
    </xdr:to>
    <xdr:sp macro="" textlink="">
      <xdr:nvSpPr>
        <xdr:cNvPr id="6" name="Forme automatique 1">
          <a:extLst>
            <a:ext uri="{FF2B5EF4-FFF2-40B4-BE49-F238E27FC236}">
              <a16:creationId xmlns:a16="http://schemas.microsoft.com/office/drawing/2014/main" id="{00000000-0008-0000-0400-000006000000}"/>
            </a:ext>
          </a:extLst>
        </xdr:cNvPr>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285750</xdr:colOff>
      <xdr:row>19</xdr:row>
      <xdr:rowOff>160189</xdr:rowOff>
    </xdr:from>
    <xdr:to>
      <xdr:col>1</xdr:col>
      <xdr:colOff>485775</xdr:colOff>
      <xdr:row>21</xdr:row>
      <xdr:rowOff>23376</xdr:rowOff>
    </xdr:to>
    <xdr:sp macro="" textlink="">
      <xdr:nvSpPr>
        <xdr:cNvPr id="7" name="Forme automatique 2">
          <a:extLst>
            <a:ext uri="{FF2B5EF4-FFF2-40B4-BE49-F238E27FC236}">
              <a16:creationId xmlns:a16="http://schemas.microsoft.com/office/drawing/2014/main" id="{00000000-0008-0000-0400-000007000000}"/>
            </a:ext>
          </a:extLst>
        </xdr:cNvPr>
        <xdr:cNvSpPr>
          <a:spLocks noChangeArrowheads="1"/>
        </xdr:cNvSpPr>
      </xdr:nvSpPr>
      <xdr:spPr bwMode="auto">
        <a:xfrm>
          <a:off x="1057275" y="3332014"/>
          <a:ext cx="200025" cy="206087"/>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266700</xdr:colOff>
      <xdr:row>23</xdr:row>
      <xdr:rowOff>166251</xdr:rowOff>
    </xdr:from>
    <xdr:to>
      <xdr:col>1</xdr:col>
      <xdr:colOff>495300</xdr:colOff>
      <xdr:row>27</xdr:row>
      <xdr:rowOff>19050</xdr:rowOff>
    </xdr:to>
    <xdr:sp macro="" textlink="">
      <xdr:nvSpPr>
        <xdr:cNvPr id="8" name="Forme automatique 3">
          <a:extLst>
            <a:ext uri="{FF2B5EF4-FFF2-40B4-BE49-F238E27FC236}">
              <a16:creationId xmlns:a16="http://schemas.microsoft.com/office/drawing/2014/main" id="{00000000-0008-0000-0400-000008000000}"/>
            </a:ext>
          </a:extLst>
        </xdr:cNvPr>
        <xdr:cNvSpPr>
          <a:spLocks noChangeArrowheads="1"/>
        </xdr:cNvSpPr>
      </xdr:nvSpPr>
      <xdr:spPr bwMode="auto">
        <a:xfrm>
          <a:off x="1038225" y="4004826"/>
          <a:ext cx="228600" cy="529074"/>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276225</xdr:colOff>
      <xdr:row>33</xdr:row>
      <xdr:rowOff>156725</xdr:rowOff>
    </xdr:from>
    <xdr:to>
      <xdr:col>1</xdr:col>
      <xdr:colOff>476250</xdr:colOff>
      <xdr:row>35</xdr:row>
      <xdr:rowOff>20778</xdr:rowOff>
    </xdr:to>
    <xdr:sp macro="" textlink="">
      <xdr:nvSpPr>
        <xdr:cNvPr id="9" name="Forme automatique 5">
          <a:extLst>
            <a:ext uri="{FF2B5EF4-FFF2-40B4-BE49-F238E27FC236}">
              <a16:creationId xmlns:a16="http://schemas.microsoft.com/office/drawing/2014/main" id="{00000000-0008-0000-0400-000009000000}"/>
            </a:ext>
          </a:extLst>
        </xdr:cNvPr>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276225</xdr:colOff>
      <xdr:row>37</xdr:row>
      <xdr:rowOff>147200</xdr:rowOff>
    </xdr:from>
    <xdr:to>
      <xdr:col>1</xdr:col>
      <xdr:colOff>476250</xdr:colOff>
      <xdr:row>39</xdr:row>
      <xdr:rowOff>11253</xdr:rowOff>
    </xdr:to>
    <xdr:sp macro="" textlink="">
      <xdr:nvSpPr>
        <xdr:cNvPr id="10" name="Forme automatique 6">
          <a:extLst>
            <a:ext uri="{FF2B5EF4-FFF2-40B4-BE49-F238E27FC236}">
              <a16:creationId xmlns:a16="http://schemas.microsoft.com/office/drawing/2014/main" id="{00000000-0008-0000-0400-00000A000000}"/>
            </a:ext>
          </a:extLst>
        </xdr:cNvPr>
        <xdr:cNvSpPr>
          <a:spLocks noChangeArrowheads="1"/>
        </xdr:cNvSpPr>
      </xdr:nvSpPr>
      <xdr:spPr bwMode="auto">
        <a:xfrm>
          <a:off x="1047750" y="635750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3</xdr:row>
      <xdr:rowOff>104775</xdr:rowOff>
    </xdr:from>
    <xdr:to>
      <xdr:col>10</xdr:col>
      <xdr:colOff>152400</xdr:colOff>
      <xdr:row>37</xdr:row>
      <xdr:rowOff>28575</xdr:rowOff>
    </xdr:to>
    <xdr:graphicFrame macro="">
      <xdr:nvGraphicFramePr>
        <xdr:cNvPr id="3073" name="Graphique 1">
          <a:extLst>
            <a:ext uri="{FF2B5EF4-FFF2-40B4-BE49-F238E27FC236}">
              <a16:creationId xmlns:a16="http://schemas.microsoft.com/office/drawing/2014/main" id="{00000000-0008-0000-07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38100</xdr:colOff>
      <xdr:row>20</xdr:row>
      <xdr:rowOff>9525</xdr:rowOff>
    </xdr:from>
    <xdr:ext cx="2800350" cy="228600"/>
    <xdr:sp macro="" textlink="" fLocksText="0">
      <xdr:nvSpPr>
        <xdr:cNvPr id="3074" name="ZoneTexte 4">
          <a:extLst>
            <a:ext uri="{FF2B5EF4-FFF2-40B4-BE49-F238E27FC236}">
              <a16:creationId xmlns:a16="http://schemas.microsoft.com/office/drawing/2014/main" id="{00000000-0008-0000-0700-0000020C0000}"/>
            </a:ext>
          </a:extLst>
        </xdr:cNvPr>
        <xdr:cNvSpPr txBox="1">
          <a:spLocks noChangeArrowheads="1"/>
        </xdr:cNvSpPr>
      </xdr:nvSpPr>
      <xdr:spPr bwMode="auto">
        <a:xfrm>
          <a:off x="2324100" y="3314700"/>
          <a:ext cx="28003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0160" tIns="20160" rIns="20160" bIns="20160" anchor="t">
          <a:spAutoFit/>
        </a:bodyPr>
        <a:lstStyle/>
        <a:p>
          <a:pPr algn="l" rtl="0">
            <a:defRPr sz="1000"/>
          </a:pPr>
          <a:r>
            <a:rPr lang="fr-CH" sz="1100" b="0" i="0" u="none" strike="noStrike" baseline="0">
              <a:solidFill>
                <a:srgbClr val="000000"/>
              </a:solidFill>
              <a:latin typeface="Calibri"/>
              <a:cs typeface="Calibri"/>
            </a:rPr>
            <a:t>Main coating step setting the thickness of layer</a:t>
          </a:r>
          <a:endParaRPr lang="fr-CH"/>
        </a:p>
      </xdr:txBody>
    </xdr:sp>
    <xdr:clientData/>
  </xdr:oneCellAnchor>
  <xdr:oneCellAnchor>
    <xdr:from>
      <xdr:col>2</xdr:col>
      <xdr:colOff>342900</xdr:colOff>
      <xdr:row>26</xdr:row>
      <xdr:rowOff>152400</xdr:rowOff>
    </xdr:from>
    <xdr:ext cx="1476375" cy="228600"/>
    <xdr:sp macro="" textlink="" fLocksText="0">
      <xdr:nvSpPr>
        <xdr:cNvPr id="3075" name="ZoneTexte 5">
          <a:extLst>
            <a:ext uri="{FF2B5EF4-FFF2-40B4-BE49-F238E27FC236}">
              <a16:creationId xmlns:a16="http://schemas.microsoft.com/office/drawing/2014/main" id="{00000000-0008-0000-0700-0000030C0000}"/>
            </a:ext>
          </a:extLst>
        </xdr:cNvPr>
        <xdr:cNvSpPr txBox="1">
          <a:spLocks noChangeArrowheads="1"/>
        </xdr:cNvSpPr>
      </xdr:nvSpPr>
      <xdr:spPr bwMode="auto">
        <a:xfrm>
          <a:off x="1866900" y="4429125"/>
          <a:ext cx="1476375"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0160" tIns="20160" rIns="20160" bIns="20160" anchor="t">
          <a:spAutoFit/>
        </a:bodyPr>
        <a:lstStyle/>
        <a:p>
          <a:pPr algn="l" rtl="0">
            <a:defRPr sz="1000"/>
          </a:pPr>
          <a:r>
            <a:rPr lang="fr-CH" sz="1100" b="0" i="0" u="none" strike="noStrike" baseline="0">
              <a:solidFill>
                <a:srgbClr val="000000"/>
              </a:solidFill>
              <a:latin typeface="Calibri"/>
              <a:cs typeface="Calibri"/>
            </a:rPr>
            <a:t>Ramp up to desired RPM</a:t>
          </a:r>
          <a:endParaRPr lang="fr-CH"/>
        </a:p>
      </xdr:txBody>
    </xdr:sp>
    <xdr:clientData/>
  </xdr:oneCellAnchor>
  <xdr:oneCellAnchor>
    <xdr:from>
      <xdr:col>7</xdr:col>
      <xdr:colOff>685800</xdr:colOff>
      <xdr:row>22</xdr:row>
      <xdr:rowOff>66675</xdr:rowOff>
    </xdr:from>
    <xdr:ext cx="758924" cy="385167"/>
    <xdr:sp macro="" textlink="" fLocksText="0">
      <xdr:nvSpPr>
        <xdr:cNvPr id="3076" name="ZoneTexte 6">
          <a:extLst>
            <a:ext uri="{FF2B5EF4-FFF2-40B4-BE49-F238E27FC236}">
              <a16:creationId xmlns:a16="http://schemas.microsoft.com/office/drawing/2014/main" id="{00000000-0008-0000-0700-0000040C0000}"/>
            </a:ext>
          </a:extLst>
        </xdr:cNvPr>
        <xdr:cNvSpPr txBox="1">
          <a:spLocks noChangeArrowheads="1"/>
        </xdr:cNvSpPr>
      </xdr:nvSpPr>
      <xdr:spPr bwMode="auto">
        <a:xfrm>
          <a:off x="6019800" y="3695700"/>
          <a:ext cx="758924" cy="38516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0160" tIns="20160" rIns="20160" bIns="20160" anchor="t">
          <a:spAutoFit/>
        </a:bodyPr>
        <a:lstStyle/>
        <a:p>
          <a:pPr algn="l" rtl="0">
            <a:defRPr sz="1000"/>
          </a:pPr>
          <a:r>
            <a:rPr lang="fr-CH" sz="1100" b="0" i="0" u="none" strike="noStrike" baseline="0">
              <a:solidFill>
                <a:srgbClr val="000000"/>
              </a:solidFill>
              <a:latin typeface="Calibri"/>
              <a:cs typeface="Calibri"/>
            </a:rPr>
            <a:t>Ramp down </a:t>
          </a:r>
        </a:p>
        <a:p>
          <a:pPr algn="l" rtl="0">
            <a:defRPr sz="1000"/>
          </a:pPr>
          <a:r>
            <a:rPr lang="fr-CH" sz="1100" b="0" i="0" u="none" strike="noStrike" baseline="0">
              <a:solidFill>
                <a:srgbClr val="000000"/>
              </a:solidFill>
              <a:latin typeface="Calibri"/>
              <a:cs typeface="Calibri"/>
            </a:rPr>
            <a:t>to zero</a:t>
          </a:r>
          <a:endParaRPr lang="fr-CH"/>
        </a:p>
      </xdr:txBody>
    </xdr:sp>
    <xdr:clientData/>
  </xdr:oneCellAnchor>
</xdr:wsDr>
</file>

<file path=xl/drawings/drawing5.xml><?xml version="1.0" encoding="utf-8"?>
<c:userShapes xmlns:c="http://schemas.openxmlformats.org/drawingml/2006/chart">
  <cdr:relSizeAnchor xmlns:cdr="http://schemas.openxmlformats.org/drawingml/2006/chartDrawing">
    <cdr:from>
      <cdr:x>0.67595</cdr:x>
      <cdr:y>0.33154</cdr:y>
    </cdr:from>
    <cdr:to>
      <cdr:x>0.89691</cdr:x>
      <cdr:y>0.44478</cdr:y>
    </cdr:to>
    <cdr:sp macro="" textlink="" fLocksText="0">
      <cdr:nvSpPr>
        <cdr:cNvPr id="4097" name="ZoneTexte 1"/>
        <cdr:cNvSpPr txBox="1">
          <a:spLocks xmlns:a="http://schemas.openxmlformats.org/drawingml/2006/main" noChangeArrowheads="1"/>
        </cdr:cNvSpPr>
      </cdr:nvSpPr>
      <cdr:spPr bwMode="auto">
        <a:xfrm xmlns:a="http://schemas.openxmlformats.org/drawingml/2006/main">
          <a:off x="5163597" y="1799990"/>
          <a:ext cx="1687924" cy="6148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CH" sz="1100" b="0" i="0" u="none" strike="noStrike" baseline="0">
              <a:solidFill>
                <a:srgbClr val="000000"/>
              </a:solidFill>
              <a:latin typeface="Calibri"/>
              <a:cs typeface="Calibri"/>
            </a:rPr>
            <a:t>Removal of excess material </a:t>
          </a:r>
        </a:p>
        <a:p xmlns:a="http://schemas.openxmlformats.org/drawingml/2006/main">
          <a:pPr algn="l" rtl="0">
            <a:defRPr sz="1000"/>
          </a:pPr>
          <a:r>
            <a:rPr lang="fr-CH" sz="1100" b="0" i="0" u="none" strike="noStrike" baseline="0">
              <a:solidFill>
                <a:srgbClr val="000000"/>
              </a:solidFill>
              <a:latin typeface="Calibri"/>
              <a:cs typeface="Calibri"/>
            </a:rPr>
            <a:t>accumulated on edge of </a:t>
          </a:r>
        </a:p>
        <a:p xmlns:a="http://schemas.openxmlformats.org/drawingml/2006/main">
          <a:pPr algn="l" rtl="0">
            <a:defRPr sz="1000"/>
          </a:pPr>
          <a:r>
            <a:rPr lang="fr-CH" sz="1100" b="0" i="0" u="none" strike="noStrike" baseline="0">
              <a:solidFill>
                <a:srgbClr val="000000"/>
              </a:solidFill>
              <a:latin typeface="Calibri"/>
              <a:cs typeface="Calibri"/>
            </a:rPr>
            <a:t>substrate</a:t>
          </a:r>
        </a:p>
        <a:p xmlns:a="http://schemas.openxmlformats.org/drawingml/2006/main">
          <a:pPr algn="l" rtl="0">
            <a:defRPr sz="1000"/>
          </a:pPr>
          <a:endParaRPr lang="fr-CH"/>
        </a:p>
      </cdr:txBody>
    </cdr:sp>
  </cdr:relSizeAnchor>
  <cdr:relSizeAnchor xmlns:cdr="http://schemas.openxmlformats.org/drawingml/2006/chartDrawing">
    <cdr:from>
      <cdr:x>0.10203</cdr:x>
      <cdr:y>0.8579</cdr:y>
    </cdr:from>
    <cdr:to>
      <cdr:x>0.36783</cdr:x>
      <cdr:y>0.95088</cdr:y>
    </cdr:to>
    <cdr:sp macro="" textlink="" fLocksText="0">
      <cdr:nvSpPr>
        <cdr:cNvPr id="4098" name="ZoneTexte 2"/>
        <cdr:cNvSpPr txBox="1">
          <a:spLocks xmlns:a="http://schemas.openxmlformats.org/drawingml/2006/main" noChangeArrowheads="1"/>
        </cdr:cNvSpPr>
      </cdr:nvSpPr>
      <cdr:spPr bwMode="auto">
        <a:xfrm xmlns:a="http://schemas.openxmlformats.org/drawingml/2006/main">
          <a:off x="779388" y="4657764"/>
          <a:ext cx="2030460" cy="5048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CH" sz="1100" b="0" i="0" u="none" strike="noStrike" baseline="0">
              <a:solidFill>
                <a:srgbClr val="000000"/>
              </a:solidFill>
              <a:latin typeface="Calibri"/>
              <a:cs typeface="Calibri"/>
            </a:rPr>
            <a:t>Initial step to spread material </a:t>
          </a:r>
          <a:br>
            <a:rPr lang="fr-CH" sz="1100" b="0" i="0" u="none" strike="noStrike" baseline="0">
              <a:solidFill>
                <a:srgbClr val="000000"/>
              </a:solidFill>
              <a:latin typeface="Calibri"/>
              <a:cs typeface="Calibri"/>
            </a:rPr>
          </a:br>
          <a:r>
            <a:rPr lang="fr-CH" sz="1100" b="0" i="0" u="none" strike="noStrike" baseline="0">
              <a:solidFill>
                <a:srgbClr val="000000"/>
              </a:solidFill>
              <a:latin typeface="Calibri"/>
              <a:cs typeface="Calibri"/>
            </a:rPr>
            <a:t>across substrate surface</a:t>
          </a:r>
          <a:endParaRPr lang="fr-CH"/>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cmi.epfl.ch/photo/photo_process/files/mr-DWL_en_102013.pdf" TargetMode="External"/><Relationship Id="rId2" Type="http://schemas.openxmlformats.org/officeDocument/2006/relationships/hyperlink" Target="https://cmi.epfl.ch/photo/photo_process/files/mr-DWL_en_102013.pdf" TargetMode="External"/><Relationship Id="rId1" Type="http://schemas.openxmlformats.org/officeDocument/2006/relationships/hyperlink" Target="http://microresist.de/en/product/negative-photoresists-2"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140.116.176.21/www/rules/doc/GM_1040_Datasheet_1%5B1%5D.0.pdf" TargetMode="External"/><Relationship Id="rId7" Type="http://schemas.openxmlformats.org/officeDocument/2006/relationships/hyperlink" Target="http://www.gersteltec.ch/userfiles/1197841293.pdf" TargetMode="External"/><Relationship Id="rId2" Type="http://schemas.openxmlformats.org/officeDocument/2006/relationships/hyperlink" Target="http://www.gersteltec.ch/su-8-Photoresists/" TargetMode="External"/><Relationship Id="rId1" Type="http://schemas.openxmlformats.org/officeDocument/2006/relationships/hyperlink" Target="https://cmi.epfl.ch/photo/Sawatec_z13.php" TargetMode="External"/><Relationship Id="rId6" Type="http://schemas.openxmlformats.org/officeDocument/2006/relationships/hyperlink" Target="http://www.gersteltec.ch/userfiles/1197841484.pdf" TargetMode="External"/><Relationship Id="rId5" Type="http://schemas.openxmlformats.org/officeDocument/2006/relationships/hyperlink" Target="http://www.gersteltec.ch/userfiles/1197841378.pdf" TargetMode="External"/><Relationship Id="rId4" Type="http://schemas.openxmlformats.org/officeDocument/2006/relationships/hyperlink" Target="http://www.gersteltec.ch/userfiles/GM1050_v1.0.pdf" TargetMode="External"/><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icrochem.com/pdf/SU-8%203000%20Data%20Sheet.pdf" TargetMode="External"/><Relationship Id="rId1" Type="http://schemas.openxmlformats.org/officeDocument/2006/relationships/hyperlink" Target="http://www.microchem.com/Prod-SU83000.htm"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8"/>
  <sheetViews>
    <sheetView workbookViewId="0"/>
  </sheetViews>
  <sheetFormatPr baseColWidth="10" defaultColWidth="11.42578125" defaultRowHeight="15" x14ac:dyDescent="0.2"/>
  <cols>
    <col min="1" max="1" width="11.42578125" style="62"/>
    <col min="2" max="2" width="11.85546875" style="52" customWidth="1"/>
    <col min="3" max="5" width="11.42578125" style="62"/>
    <col min="6" max="6" width="11.42578125" style="62" customWidth="1"/>
    <col min="7" max="16384" width="11.42578125" style="62"/>
  </cols>
  <sheetData>
    <row r="3" spans="2:9" ht="20.25" x14ac:dyDescent="0.3">
      <c r="B3" s="51" t="s">
        <v>192</v>
      </c>
    </row>
    <row r="4" spans="2:9" ht="14.25" customHeight="1" x14ac:dyDescent="0.3">
      <c r="B4" s="51"/>
    </row>
    <row r="6" spans="2:9" ht="15.75" x14ac:dyDescent="0.25">
      <c r="B6" s="69" t="s">
        <v>124</v>
      </c>
    </row>
    <row r="7" spans="2:9" ht="15.75" x14ac:dyDescent="0.25">
      <c r="B7" s="69"/>
    </row>
    <row r="8" spans="2:9" ht="15.75" x14ac:dyDescent="0.25">
      <c r="B8" s="53"/>
      <c r="I8" s="71"/>
    </row>
    <row r="9" spans="2:9" ht="15" customHeight="1" x14ac:dyDescent="0.2">
      <c r="B9" s="70"/>
      <c r="C9" s="115" t="s">
        <v>125</v>
      </c>
      <c r="D9" s="23"/>
      <c r="E9" s="62" t="s">
        <v>236</v>
      </c>
      <c r="F9" s="71"/>
    </row>
    <row r="10" spans="2:9" ht="15" customHeight="1" x14ac:dyDescent="0.2">
      <c r="B10" s="185" t="s">
        <v>106</v>
      </c>
      <c r="C10" s="185"/>
      <c r="D10" s="185"/>
      <c r="F10" s="71"/>
    </row>
    <row r="11" spans="2:9" x14ac:dyDescent="0.2">
      <c r="B11" s="54"/>
      <c r="C11" s="70"/>
      <c r="D11" s="54"/>
      <c r="E11" s="52"/>
    </row>
    <row r="13" spans="2:9" ht="14.25" customHeight="1" x14ac:dyDescent="0.2">
      <c r="B13" s="103"/>
      <c r="C13" s="115" t="s">
        <v>105</v>
      </c>
      <c r="D13" s="103"/>
      <c r="E13" s="62" t="s">
        <v>238</v>
      </c>
      <c r="F13" s="103"/>
      <c r="G13" s="103"/>
    </row>
    <row r="14" spans="2:9" ht="14.25" customHeight="1" x14ac:dyDescent="0.2">
      <c r="B14" s="185" t="s">
        <v>237</v>
      </c>
      <c r="C14" s="185"/>
      <c r="D14" s="185"/>
      <c r="E14" s="102"/>
      <c r="F14" s="102"/>
      <c r="G14" s="102"/>
      <c r="H14" s="101"/>
      <c r="I14" s="101"/>
    </row>
    <row r="17" spans="2:4" ht="15.75" x14ac:dyDescent="0.2">
      <c r="C17" s="115"/>
    </row>
    <row r="18" spans="2:4" ht="15.75" x14ac:dyDescent="0.2">
      <c r="B18" s="180"/>
      <c r="C18" s="180"/>
      <c r="D18" s="180"/>
    </row>
  </sheetData>
  <mergeCells count="2">
    <mergeCell ref="B10:D10"/>
    <mergeCell ref="B14:D14"/>
  </mergeCells>
  <hyperlinks>
    <hyperlink ref="B14" location="'Z13 MCC Summary'!A1" display="Su8 3000 series" xr:uid="{00000000-0004-0000-0000-000000000000}"/>
    <hyperlink ref="B10" location="Gersteltec!A1" display="GM 1000 series" xr:uid="{00000000-0004-0000-0000-000001000000}"/>
    <hyperlink ref="B14:D14" location="'MicroChem 3000 Summary'!A1" display="Su8 3000 series" xr:uid="{00000000-0004-0000-0000-000002000000}"/>
    <hyperlink ref="B10:D10" location="'Gersteltec GM Summary'!A1" display="GM 1000 series" xr:uid="{00000000-0004-0000-0000-00000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workbookViewId="0">
      <selection activeCell="G14" sqref="G14"/>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130</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13</v>
      </c>
      <c r="C3" s="75"/>
      <c r="D3" s="75">
        <v>10</v>
      </c>
      <c r="E3" s="75">
        <v>200</v>
      </c>
      <c r="F3" s="75">
        <v>3</v>
      </c>
      <c r="G3" s="75">
        <v>2</v>
      </c>
      <c r="H3" s="75">
        <v>3</v>
      </c>
    </row>
    <row r="4" spans="1:8" ht="12.75" customHeight="1" x14ac:dyDescent="0.2">
      <c r="A4" s="23">
        <v>2000</v>
      </c>
      <c r="B4" s="23">
        <v>7.5</v>
      </c>
      <c r="C4" s="23"/>
      <c r="D4" s="23">
        <v>4</v>
      </c>
      <c r="E4" s="126">
        <v>100</v>
      </c>
      <c r="F4" s="23">
        <v>2</v>
      </c>
      <c r="G4" s="23">
        <v>1</v>
      </c>
      <c r="H4" s="23">
        <v>1</v>
      </c>
    </row>
    <row r="5" spans="1:8" ht="12.75" customHeight="1" x14ac:dyDescent="0.2">
      <c r="A5" s="23">
        <v>3000</v>
      </c>
      <c r="B5" s="23">
        <v>5</v>
      </c>
      <c r="C5" s="23"/>
      <c r="D5" s="23"/>
      <c r="E5" s="126"/>
    </row>
    <row r="6" spans="1:8" x14ac:dyDescent="0.2">
      <c r="A6" s="23">
        <v>4000</v>
      </c>
      <c r="B6" s="23">
        <v>4</v>
      </c>
      <c r="C6" s="23"/>
      <c r="D6" s="23"/>
      <c r="E6" s="126"/>
    </row>
    <row r="7" spans="1:8" x14ac:dyDescent="0.2">
      <c r="A7" s="23">
        <v>5000</v>
      </c>
      <c r="B7" s="23">
        <v>3.5</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37" t="s">
        <v>50</v>
      </c>
      <c r="B13" s="74">
        <f>'Z01 MR Summary'!F6</f>
        <v>50</v>
      </c>
      <c r="C13" s="2">
        <f>(B13/4187.3)^(-1/0.836)</f>
        <v>199.61641853186791</v>
      </c>
      <c r="D13" s="2">
        <f>B13*15.385+269</f>
        <v>1038.25</v>
      </c>
      <c r="E13" s="129">
        <f>B13*0.1667+1.333</f>
        <v>9.6679999999999993</v>
      </c>
      <c r="F13" s="129">
        <f>B13*0.3077+3.3845</f>
        <v>18.769499999999997</v>
      </c>
      <c r="G13" s="129">
        <f>B13*0.1538-0.307+2</f>
        <v>9.3829999999999991</v>
      </c>
    </row>
    <row r="14" spans="1:8" x14ac:dyDescent="0.2">
      <c r="A14" s="137"/>
      <c r="B14" s="128"/>
      <c r="C14" s="2"/>
      <c r="D14" s="2"/>
    </row>
    <row r="15" spans="1:8" x14ac:dyDescent="0.2">
      <c r="A15" s="78"/>
      <c r="B15" s="79"/>
      <c r="C15" s="31"/>
    </row>
    <row r="16" spans="1:8" x14ac:dyDescent="0.2">
      <c r="A16" s="137"/>
      <c r="B16" s="137"/>
    </row>
    <row r="17" spans="1:5" x14ac:dyDescent="0.2">
      <c r="A17" s="137"/>
      <c r="B17" s="137"/>
    </row>
    <row r="18" spans="1:5" ht="18" x14ac:dyDescent="0.25">
      <c r="D18" s="55"/>
    </row>
    <row r="20" spans="1:5" x14ac:dyDescent="0.2">
      <c r="E20" s="28"/>
    </row>
  </sheetData>
  <hyperlinks>
    <hyperlink ref="B13" location="Z01Summary!G6" display="Z01Summary!G6" xr:uid="{00000000-0004-0000-0900-000000000000}"/>
    <hyperlink ref="E1" location="Home!A5" display="Home" xr:uid="{00000000-0004-0000-09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0"/>
  <sheetViews>
    <sheetView workbookViewId="0">
      <selection activeCell="D13" sqref="D13"/>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108</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10</v>
      </c>
      <c r="C3" s="75"/>
      <c r="D3" s="75">
        <v>10</v>
      </c>
      <c r="E3" s="75">
        <v>200</v>
      </c>
      <c r="F3" s="75">
        <v>3</v>
      </c>
      <c r="G3" s="75">
        <v>2</v>
      </c>
      <c r="H3" s="75">
        <v>3</v>
      </c>
    </row>
    <row r="4" spans="1:8" ht="12.75" customHeight="1" x14ac:dyDescent="0.2">
      <c r="A4" s="23">
        <v>2000</v>
      </c>
      <c r="B4" s="23">
        <v>7.5</v>
      </c>
      <c r="C4" s="23"/>
      <c r="D4" s="23">
        <v>4</v>
      </c>
      <c r="E4" s="126">
        <v>100</v>
      </c>
      <c r="F4" s="23">
        <v>2</v>
      </c>
      <c r="G4" s="23">
        <v>1</v>
      </c>
      <c r="H4" s="23">
        <v>1</v>
      </c>
    </row>
    <row r="5" spans="1:8" ht="12.75" customHeight="1" x14ac:dyDescent="0.2">
      <c r="A5" s="23">
        <v>3000</v>
      </c>
      <c r="B5" s="23">
        <v>6</v>
      </c>
      <c r="C5" s="23"/>
      <c r="D5" s="23"/>
      <c r="E5" s="126"/>
    </row>
    <row r="6" spans="1:8" x14ac:dyDescent="0.2">
      <c r="A6" s="23">
        <v>4000</v>
      </c>
      <c r="B6" s="23">
        <v>5</v>
      </c>
      <c r="C6" s="23"/>
      <c r="D6" s="23"/>
      <c r="E6" s="126"/>
    </row>
    <row r="7" spans="1:8" x14ac:dyDescent="0.2">
      <c r="A7" s="23">
        <v>5000</v>
      </c>
      <c r="B7" s="23">
        <v>4.5</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27" t="s">
        <v>50</v>
      </c>
      <c r="B13" s="74">
        <f>'MicroChem 3000 Summary'!F6</f>
        <v>110</v>
      </c>
      <c r="C13" s="2">
        <f>(B13/332.56)^(-1/0.504)</f>
        <v>8.9810689057181659</v>
      </c>
      <c r="D13" s="2">
        <f>B13*16.7+33</f>
        <v>1870</v>
      </c>
      <c r="E13" s="129">
        <f>B13*0.1667+1.333</f>
        <v>19.669999999999998</v>
      </c>
      <c r="F13" s="129">
        <f>B13*0.1667+0.3333</f>
        <v>18.670300000000001</v>
      </c>
      <c r="G13" s="129">
        <f>B13*0.333-0.333</f>
        <v>36.297000000000004</v>
      </c>
    </row>
    <row r="14" spans="1:8" x14ac:dyDescent="0.2">
      <c r="A14" s="127"/>
      <c r="B14" s="128"/>
      <c r="C14" s="2"/>
      <c r="D14" s="2"/>
    </row>
    <row r="15" spans="1:8" x14ac:dyDescent="0.2">
      <c r="A15" s="78"/>
      <c r="B15" s="79"/>
      <c r="C15" s="31"/>
    </row>
    <row r="16" spans="1:8" x14ac:dyDescent="0.2">
      <c r="A16" s="127"/>
      <c r="B16" s="127"/>
    </row>
    <row r="17" spans="1:5" x14ac:dyDescent="0.2">
      <c r="A17" s="127"/>
      <c r="B17" s="127"/>
    </row>
    <row r="18" spans="1:5" ht="18" x14ac:dyDescent="0.25">
      <c r="D18" s="55"/>
    </row>
    <row r="20" spans="1:5" x14ac:dyDescent="0.2">
      <c r="E20" s="28"/>
    </row>
  </sheetData>
  <hyperlinks>
    <hyperlink ref="B13" location="Z01Summary!G6" display="Z01Summary!G6" xr:uid="{00000000-0004-0000-0A00-000000000000}"/>
    <hyperlink ref="E1" location="Home!A5" display="Home" xr:uid="{00000000-0004-0000-0A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0"/>
  <sheetViews>
    <sheetView workbookViewId="0">
      <selection activeCell="D13" sqref="D13"/>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110</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18.5</v>
      </c>
      <c r="C3" s="75"/>
      <c r="D3" s="75">
        <v>15</v>
      </c>
      <c r="E3" s="75">
        <v>200</v>
      </c>
      <c r="F3" s="75">
        <v>10</v>
      </c>
      <c r="G3" s="75">
        <v>4</v>
      </c>
      <c r="H3" s="75">
        <v>6</v>
      </c>
    </row>
    <row r="4" spans="1:8" ht="12.75" customHeight="1" x14ac:dyDescent="0.2">
      <c r="A4" s="23">
        <v>2000</v>
      </c>
      <c r="B4" s="23">
        <v>13</v>
      </c>
      <c r="C4" s="23"/>
      <c r="D4" s="23">
        <v>8</v>
      </c>
      <c r="E4" s="126">
        <v>125</v>
      </c>
      <c r="F4" s="23">
        <v>5</v>
      </c>
      <c r="G4" s="23">
        <v>2</v>
      </c>
      <c r="H4" s="23">
        <v>4</v>
      </c>
    </row>
    <row r="5" spans="1:8" ht="12.75" customHeight="1" x14ac:dyDescent="0.2">
      <c r="A5" s="23">
        <v>3000</v>
      </c>
      <c r="B5" s="23">
        <v>10.7</v>
      </c>
      <c r="C5" s="23"/>
      <c r="D5" s="23"/>
      <c r="E5" s="126"/>
    </row>
    <row r="6" spans="1:8" x14ac:dyDescent="0.2">
      <c r="A6" s="23">
        <v>4000</v>
      </c>
      <c r="B6" s="23">
        <v>9.5</v>
      </c>
      <c r="C6" s="23"/>
      <c r="D6" s="23"/>
      <c r="E6" s="126"/>
    </row>
    <row r="7" spans="1:8" x14ac:dyDescent="0.2">
      <c r="A7" s="23">
        <v>5000</v>
      </c>
      <c r="B7" s="23">
        <v>8.6999999999999993</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27" t="s">
        <v>50</v>
      </c>
      <c r="B13" s="74">
        <f>'MicroChem 3000 Summary'!F6</f>
        <v>110</v>
      </c>
      <c r="C13" s="2">
        <f>(B13/474.21)^(-1/0.471)</f>
        <v>22.248432148696391</v>
      </c>
      <c r="D13" s="2">
        <f>B13*8.7+105</f>
        <v>1062</v>
      </c>
      <c r="E13" s="129">
        <f>B13*0.714-0.714</f>
        <v>77.825999999999993</v>
      </c>
      <c r="F13" s="129">
        <f>B13*0.2857-0.2857</f>
        <v>31.141300000000001</v>
      </c>
      <c r="G13" s="129">
        <f>B13*0.2857+1.7145</f>
        <v>33.141500000000001</v>
      </c>
    </row>
    <row r="14" spans="1:8" x14ac:dyDescent="0.2">
      <c r="A14" s="127"/>
      <c r="B14" s="128"/>
      <c r="C14" s="2"/>
      <c r="D14" s="2"/>
    </row>
    <row r="15" spans="1:8" x14ac:dyDescent="0.2">
      <c r="A15" s="78"/>
      <c r="B15" s="79"/>
      <c r="C15" s="31"/>
    </row>
    <row r="16" spans="1:8" x14ac:dyDescent="0.2">
      <c r="A16" s="127"/>
      <c r="B16" s="127"/>
    </row>
    <row r="17" spans="1:5" x14ac:dyDescent="0.2">
      <c r="A17" s="127"/>
      <c r="B17" s="127"/>
    </row>
    <row r="18" spans="1:5" ht="18" x14ac:dyDescent="0.25">
      <c r="D18" s="55"/>
    </row>
    <row r="20" spans="1:5" x14ac:dyDescent="0.2">
      <c r="E20" s="28"/>
    </row>
  </sheetData>
  <hyperlinks>
    <hyperlink ref="B13" location="Z01Summary!G6" display="Z01Summary!G6" xr:uid="{00000000-0004-0000-0B00-000000000000}"/>
    <hyperlink ref="E1" location="Home!A5" display="Home" xr:uid="{00000000-0004-0000-0B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
  <sheetViews>
    <sheetView workbookViewId="0">
      <selection activeCell="D13" sqref="D13"/>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111</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68</v>
      </c>
      <c r="C3" s="75"/>
      <c r="D3" s="75">
        <v>50</v>
      </c>
      <c r="E3" s="75">
        <v>250</v>
      </c>
      <c r="F3" s="75">
        <v>15</v>
      </c>
      <c r="G3" s="75">
        <v>5</v>
      </c>
      <c r="H3" s="75">
        <v>8</v>
      </c>
    </row>
    <row r="4" spans="1:8" ht="12.75" customHeight="1" x14ac:dyDescent="0.2">
      <c r="A4" s="23">
        <v>2000</v>
      </c>
      <c r="B4" s="23">
        <v>39</v>
      </c>
      <c r="C4" s="23"/>
      <c r="D4" s="23">
        <v>20</v>
      </c>
      <c r="E4" s="126">
        <v>150</v>
      </c>
      <c r="F4" s="23">
        <v>10</v>
      </c>
      <c r="G4" s="23">
        <v>3</v>
      </c>
      <c r="H4" s="23">
        <v>5</v>
      </c>
    </row>
    <row r="5" spans="1:8" ht="12.75" customHeight="1" x14ac:dyDescent="0.2">
      <c r="A5" s="23">
        <v>3000</v>
      </c>
      <c r="B5" s="23">
        <v>27</v>
      </c>
      <c r="C5" s="23"/>
      <c r="D5" s="23"/>
      <c r="E5" s="126"/>
    </row>
    <row r="6" spans="1:8" x14ac:dyDescent="0.2">
      <c r="A6" s="23">
        <v>4000</v>
      </c>
      <c r="B6" s="23">
        <v>20</v>
      </c>
      <c r="C6" s="23"/>
      <c r="D6" s="23"/>
      <c r="E6" s="126"/>
    </row>
    <row r="7" spans="1:8" x14ac:dyDescent="0.2">
      <c r="A7" s="23">
        <v>5000</v>
      </c>
      <c r="B7" s="23">
        <v>17</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27" t="s">
        <v>50</v>
      </c>
      <c r="B13" s="74">
        <f>'MicroChem 3000 Summary'!F6</f>
        <v>110</v>
      </c>
      <c r="C13" s="2">
        <f>(B13/29018)^(-1/0.874)</f>
        <v>589.30115150389315</v>
      </c>
      <c r="D13" s="2">
        <f>B13*3+200</f>
        <v>530</v>
      </c>
      <c r="E13" s="129">
        <f>B13*0.1667+6.667</f>
        <v>25.003999999999998</v>
      </c>
      <c r="F13" s="129">
        <f>B13*0.0667+1.667</f>
        <v>9.0039999999999996</v>
      </c>
      <c r="G13" s="129">
        <f>B13*0.1+3</f>
        <v>14</v>
      </c>
    </row>
    <row r="14" spans="1:8" x14ac:dyDescent="0.2">
      <c r="A14" s="127"/>
      <c r="B14" s="128"/>
      <c r="C14" s="2"/>
      <c r="D14" s="2"/>
    </row>
    <row r="15" spans="1:8" x14ac:dyDescent="0.2">
      <c r="A15" s="78"/>
      <c r="B15" s="79"/>
      <c r="C15" s="31"/>
    </row>
    <row r="16" spans="1:8" x14ac:dyDescent="0.2">
      <c r="A16" s="127"/>
      <c r="B16" s="127"/>
    </row>
    <row r="17" spans="1:5" x14ac:dyDescent="0.2">
      <c r="A17" s="127"/>
      <c r="B17" s="127"/>
    </row>
    <row r="18" spans="1:5" ht="18" x14ac:dyDescent="0.25">
      <c r="D18" s="55"/>
    </row>
    <row r="20" spans="1:5" x14ac:dyDescent="0.2">
      <c r="E20" s="28"/>
    </row>
  </sheetData>
  <hyperlinks>
    <hyperlink ref="B13" location="Z01Summary!G6" display="Z01Summary!G6" xr:uid="{00000000-0004-0000-0C00-000000000000}"/>
    <hyperlink ref="E1" location="Home!A5" display="Home" xr:uid="{00000000-0004-0000-0C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0"/>
  <sheetViews>
    <sheetView workbookViewId="0">
      <selection activeCell="D13" sqref="D13"/>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112</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87.5</v>
      </c>
      <c r="C3" s="75"/>
      <c r="D3" s="75">
        <v>80</v>
      </c>
      <c r="E3" s="75">
        <v>250</v>
      </c>
      <c r="F3" s="75">
        <v>30</v>
      </c>
      <c r="G3" s="75">
        <v>5</v>
      </c>
      <c r="H3" s="75">
        <v>12</v>
      </c>
    </row>
    <row r="4" spans="1:8" ht="12.75" customHeight="1" x14ac:dyDescent="0.2">
      <c r="A4" s="23">
        <v>2000</v>
      </c>
      <c r="B4" s="23">
        <v>50</v>
      </c>
      <c r="C4" s="23"/>
      <c r="D4" s="23">
        <v>30</v>
      </c>
      <c r="E4" s="126">
        <v>150</v>
      </c>
      <c r="F4" s="23">
        <v>10</v>
      </c>
      <c r="G4" s="23">
        <v>3</v>
      </c>
      <c r="H4" s="23">
        <v>6</v>
      </c>
    </row>
    <row r="5" spans="1:8" ht="12.75" customHeight="1" x14ac:dyDescent="0.2">
      <c r="A5" s="23">
        <v>3000</v>
      </c>
      <c r="B5" s="23">
        <v>33.5</v>
      </c>
      <c r="C5" s="23"/>
      <c r="D5" s="23"/>
      <c r="E5" s="126"/>
    </row>
    <row r="6" spans="1:8" x14ac:dyDescent="0.2">
      <c r="A6" s="23">
        <v>4000</v>
      </c>
      <c r="B6" s="23">
        <v>25</v>
      </c>
      <c r="C6" s="23"/>
      <c r="D6" s="23"/>
      <c r="E6" s="126"/>
    </row>
    <row r="7" spans="1:8" x14ac:dyDescent="0.2">
      <c r="A7" s="23">
        <v>5000</v>
      </c>
      <c r="B7" s="23">
        <v>21</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27" t="s">
        <v>50</v>
      </c>
      <c r="B13" s="74">
        <f>'MicroChem 3000 Summary'!F6</f>
        <v>110</v>
      </c>
      <c r="C13" s="2">
        <f>(B13/45080)^(-1/0.901)</f>
        <v>793.70167048748306</v>
      </c>
      <c r="D13" s="2">
        <f>B13*2+90</f>
        <v>310</v>
      </c>
      <c r="E13" s="129">
        <f>B13*0.4-2</f>
        <v>42</v>
      </c>
      <c r="F13" s="129">
        <f>B13*0.04+1.8</f>
        <v>6.2</v>
      </c>
      <c r="G13" s="129">
        <f>B13*0.12+2.4</f>
        <v>15.6</v>
      </c>
    </row>
    <row r="14" spans="1:8" x14ac:dyDescent="0.2">
      <c r="A14" s="127"/>
      <c r="B14" s="128"/>
      <c r="C14" s="2"/>
      <c r="D14" s="2"/>
    </row>
    <row r="15" spans="1:8" x14ac:dyDescent="0.2">
      <c r="A15" s="78"/>
      <c r="B15" s="79"/>
      <c r="C15" s="31"/>
    </row>
    <row r="16" spans="1:8" x14ac:dyDescent="0.2">
      <c r="A16" s="127"/>
      <c r="B16" s="127"/>
    </row>
    <row r="17" spans="1:5" x14ac:dyDescent="0.2">
      <c r="A17" s="127"/>
      <c r="B17" s="127"/>
    </row>
    <row r="18" spans="1:5" ht="18" x14ac:dyDescent="0.25">
      <c r="D18" s="55"/>
    </row>
    <row r="20" spans="1:5" x14ac:dyDescent="0.2">
      <c r="E20" s="28"/>
    </row>
  </sheetData>
  <hyperlinks>
    <hyperlink ref="B13" location="Z01Summary!G6" display="Z01Summary!G6" xr:uid="{00000000-0004-0000-0D00-000000000000}"/>
    <hyperlink ref="E1" location="Home!A5" display="Home" xr:uid="{00000000-0004-0000-0D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0"/>
  <sheetViews>
    <sheetView workbookViewId="0">
      <selection activeCell="D13" sqref="D13"/>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113</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115</v>
      </c>
      <c r="C3" s="75"/>
      <c r="D3" s="75">
        <v>100</v>
      </c>
      <c r="E3" s="75">
        <v>250</v>
      </c>
      <c r="F3" s="75">
        <v>45</v>
      </c>
      <c r="G3" s="75">
        <v>5</v>
      </c>
      <c r="H3" s="75">
        <v>15</v>
      </c>
    </row>
    <row r="4" spans="1:8" ht="12.75" customHeight="1" x14ac:dyDescent="0.2">
      <c r="A4" s="23">
        <v>2000</v>
      </c>
      <c r="B4" s="23">
        <v>67.5</v>
      </c>
      <c r="C4" s="23"/>
      <c r="D4" s="23">
        <v>40</v>
      </c>
      <c r="E4" s="126">
        <v>150</v>
      </c>
      <c r="F4" s="23">
        <v>15</v>
      </c>
      <c r="G4" s="23">
        <v>3</v>
      </c>
      <c r="H4" s="23">
        <v>7</v>
      </c>
    </row>
    <row r="5" spans="1:8" ht="12.75" customHeight="1" x14ac:dyDescent="0.2">
      <c r="A5" s="23">
        <v>3000</v>
      </c>
      <c r="B5" s="23">
        <v>47.5</v>
      </c>
      <c r="C5" s="23"/>
      <c r="D5" s="23"/>
      <c r="E5" s="126"/>
    </row>
    <row r="6" spans="1:8" x14ac:dyDescent="0.2">
      <c r="A6" s="23">
        <v>4000</v>
      </c>
      <c r="B6" s="23">
        <v>34</v>
      </c>
      <c r="C6" s="23"/>
      <c r="D6" s="23"/>
      <c r="E6" s="126"/>
    </row>
    <row r="7" spans="1:8" x14ac:dyDescent="0.2">
      <c r="A7" s="23">
        <v>5000</v>
      </c>
      <c r="B7" s="23">
        <v>29</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27" t="s">
        <v>50</v>
      </c>
      <c r="B13" s="74">
        <f>'MicroChem 3000 Summary'!F6</f>
        <v>110</v>
      </c>
      <c r="C13" s="2">
        <f>(B13/48084)^(-1/0.869)</f>
        <v>1093.1360755320738</v>
      </c>
      <c r="D13" s="2">
        <f>B13*1.55+250</f>
        <v>420.5</v>
      </c>
      <c r="E13" s="129">
        <f>B13*0.5-5</f>
        <v>50</v>
      </c>
      <c r="F13" s="129">
        <f>B13*0.0333+1.667</f>
        <v>5.33</v>
      </c>
      <c r="G13" s="129">
        <f>B13*0.1333+1.667</f>
        <v>16.330000000000002</v>
      </c>
    </row>
    <row r="14" spans="1:8" x14ac:dyDescent="0.2">
      <c r="A14" s="127"/>
      <c r="B14" s="128"/>
      <c r="C14" s="2"/>
      <c r="D14" s="2"/>
    </row>
    <row r="15" spans="1:8" x14ac:dyDescent="0.2">
      <c r="A15" s="78"/>
      <c r="B15" s="79"/>
      <c r="C15" s="31"/>
    </row>
    <row r="16" spans="1:8" x14ac:dyDescent="0.2">
      <c r="A16" s="127"/>
      <c r="B16" s="127"/>
    </row>
    <row r="17" spans="1:5" x14ac:dyDescent="0.2">
      <c r="A17" s="127"/>
      <c r="B17" s="127"/>
    </row>
    <row r="18" spans="1:5" ht="18" x14ac:dyDescent="0.25">
      <c r="D18" s="55"/>
    </row>
    <row r="20" spans="1:5" x14ac:dyDescent="0.2">
      <c r="E20" s="28"/>
    </row>
  </sheetData>
  <hyperlinks>
    <hyperlink ref="B13" location="Z01Summary!G6" display="Z01Summary!G6" xr:uid="{00000000-0004-0000-0E00-000000000000}"/>
    <hyperlink ref="E1" location="Home!A5" display="Home" xr:uid="{00000000-0004-0000-0E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8"/>
  <sheetViews>
    <sheetView workbookViewId="0">
      <selection activeCell="D11" sqref="D11"/>
    </sheetView>
  </sheetViews>
  <sheetFormatPr baseColWidth="10" defaultColWidth="11.42578125" defaultRowHeight="12.75" x14ac:dyDescent="0.2"/>
  <cols>
    <col min="1" max="1" width="15" customWidth="1"/>
    <col min="2" max="2" width="15.42578125" customWidth="1"/>
    <col min="3" max="5" width="15" customWidth="1"/>
  </cols>
  <sheetData>
    <row r="1" spans="1:5" ht="18" x14ac:dyDescent="0.25">
      <c r="A1" s="22" t="s">
        <v>1</v>
      </c>
      <c r="E1" s="55" t="s">
        <v>52</v>
      </c>
    </row>
    <row r="2" spans="1:5" ht="39.75" x14ac:dyDescent="0.2">
      <c r="A2" s="75" t="s">
        <v>44</v>
      </c>
      <c r="B2" s="75" t="s">
        <v>45</v>
      </c>
      <c r="C2" s="75"/>
      <c r="D2" s="75" t="s">
        <v>45</v>
      </c>
      <c r="E2" s="75" t="s">
        <v>46</v>
      </c>
    </row>
    <row r="3" spans="1:5" ht="12.75" customHeight="1" x14ac:dyDescent="0.2">
      <c r="A3" s="23">
        <v>2000</v>
      </c>
      <c r="B3" s="23">
        <v>1.45</v>
      </c>
      <c r="C3" s="23"/>
      <c r="D3" s="23">
        <v>0.94</v>
      </c>
      <c r="E3" s="126">
        <v>29</v>
      </c>
    </row>
    <row r="4" spans="1:5" x14ac:dyDescent="0.2">
      <c r="A4" s="23">
        <v>4000</v>
      </c>
      <c r="B4" s="23">
        <v>0.94</v>
      </c>
      <c r="C4" s="23"/>
      <c r="D4" s="23">
        <v>1.45</v>
      </c>
      <c r="E4" s="126">
        <v>39</v>
      </c>
    </row>
    <row r="5" spans="1:5" x14ac:dyDescent="0.2">
      <c r="A5" s="23"/>
      <c r="B5" s="23"/>
      <c r="C5" s="23"/>
      <c r="D5" s="23"/>
      <c r="E5" s="23"/>
    </row>
    <row r="6" spans="1:5" x14ac:dyDescent="0.2">
      <c r="A6" s="23"/>
      <c r="B6" s="23"/>
      <c r="C6" s="23"/>
      <c r="D6" s="23"/>
      <c r="E6" s="23"/>
    </row>
    <row r="10" spans="1:5" ht="38.25" x14ac:dyDescent="0.2">
      <c r="A10" s="76"/>
      <c r="B10" s="117" t="s">
        <v>81</v>
      </c>
      <c r="C10" s="117" t="s">
        <v>44</v>
      </c>
      <c r="D10" s="117" t="s">
        <v>80</v>
      </c>
    </row>
    <row r="11" spans="1:5" x14ac:dyDescent="0.2">
      <c r="A11" s="61" t="s">
        <v>49</v>
      </c>
      <c r="B11" s="74">
        <f>'Gersteltec GM Summary'!F6</f>
        <v>50</v>
      </c>
      <c r="C11" s="2">
        <f>(B11/156.84)^(-1/0.617)</f>
        <v>6.377916302760906</v>
      </c>
      <c r="D11" s="2">
        <f>2*(B12*7.04+28.8)</f>
        <v>761.6</v>
      </c>
    </row>
    <row r="12" spans="1:5" x14ac:dyDescent="0.2">
      <c r="A12" s="61" t="s">
        <v>50</v>
      </c>
      <c r="B12" s="74">
        <f>'Gersteltec GM Summary'!F6</f>
        <v>50</v>
      </c>
      <c r="C12" s="2">
        <f>(B12/156.84)^(-1/0.617)</f>
        <v>6.377916302760906</v>
      </c>
      <c r="D12" s="2">
        <f>B12*7.04+28.8</f>
        <v>380.8</v>
      </c>
    </row>
    <row r="13" spans="1:5" x14ac:dyDescent="0.2">
      <c r="A13" s="78"/>
      <c r="B13" s="79"/>
      <c r="C13" s="31"/>
    </row>
    <row r="14" spans="1:5" x14ac:dyDescent="0.2">
      <c r="A14" s="61"/>
      <c r="B14" s="61"/>
    </row>
    <row r="15" spans="1:5" x14ac:dyDescent="0.2">
      <c r="A15" s="61"/>
      <c r="B15" s="61"/>
    </row>
    <row r="16" spans="1:5" ht="18" x14ac:dyDescent="0.25">
      <c r="D16" s="55"/>
    </row>
    <row r="18" spans="5:5" x14ac:dyDescent="0.2">
      <c r="E18" s="28"/>
    </row>
  </sheetData>
  <hyperlinks>
    <hyperlink ref="B11" location="Z01Summary!G6" display="Z01Summary!G6" xr:uid="{00000000-0004-0000-0F00-000000000000}"/>
    <hyperlink ref="B12" location="Z13Summary!G6" display="Z13Summary!G6" xr:uid="{00000000-0004-0000-0F00-000001000000}"/>
    <hyperlink ref="E1" location="Home!A5" display="Home" xr:uid="{00000000-0004-0000-0F00-000002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1"/>
  <sheetViews>
    <sheetView zoomScaleNormal="100" workbookViewId="0">
      <selection activeCell="D12" sqref="D12"/>
    </sheetView>
  </sheetViews>
  <sheetFormatPr baseColWidth="10" defaultColWidth="11.42578125" defaultRowHeight="12.75" x14ac:dyDescent="0.2"/>
  <cols>
    <col min="1" max="1" width="15" customWidth="1"/>
    <col min="2" max="2" width="15.42578125" customWidth="1"/>
    <col min="3" max="5" width="15" customWidth="1"/>
  </cols>
  <sheetData>
    <row r="1" spans="1:5" ht="18" x14ac:dyDescent="0.25">
      <c r="A1" s="22" t="s">
        <v>2</v>
      </c>
      <c r="E1" s="55" t="s">
        <v>52</v>
      </c>
    </row>
    <row r="2" spans="1:5" ht="39.75" x14ac:dyDescent="0.2">
      <c r="A2" s="75" t="s">
        <v>44</v>
      </c>
      <c r="B2" s="75" t="s">
        <v>45</v>
      </c>
      <c r="C2" s="75"/>
      <c r="D2" s="75" t="s">
        <v>45</v>
      </c>
      <c r="E2" s="75" t="s">
        <v>46</v>
      </c>
    </row>
    <row r="3" spans="1:5" ht="12.75" customHeight="1" x14ac:dyDescent="0.2">
      <c r="A3" s="23">
        <v>2000</v>
      </c>
      <c r="B3" s="23">
        <v>3.72</v>
      </c>
      <c r="C3" s="23"/>
      <c r="D3" s="23">
        <v>2.2999999999999998</v>
      </c>
      <c r="E3" s="126">
        <v>45</v>
      </c>
    </row>
    <row r="4" spans="1:5" x14ac:dyDescent="0.2">
      <c r="A4" s="23">
        <v>4000</v>
      </c>
      <c r="B4" s="23">
        <v>2.2999999999999998</v>
      </c>
      <c r="C4" s="23"/>
      <c r="D4" s="23">
        <v>3.72</v>
      </c>
      <c r="E4" s="126">
        <v>55</v>
      </c>
    </row>
    <row r="5" spans="1:5" x14ac:dyDescent="0.2">
      <c r="A5" s="23"/>
      <c r="B5" s="23"/>
      <c r="C5" s="23"/>
      <c r="D5" s="1"/>
      <c r="E5" s="1"/>
    </row>
    <row r="6" spans="1:5" x14ac:dyDescent="0.2">
      <c r="A6" s="23"/>
      <c r="B6" s="23"/>
      <c r="C6" s="23"/>
      <c r="D6" s="1"/>
      <c r="E6" s="1"/>
    </row>
    <row r="7" spans="1:5" s="62" customFormat="1" x14ac:dyDescent="0.2">
      <c r="A7" s="23"/>
      <c r="B7" s="23"/>
      <c r="C7" s="23"/>
      <c r="D7" s="1"/>
      <c r="E7" s="1"/>
    </row>
    <row r="8" spans="1:5" s="62" customFormat="1" x14ac:dyDescent="0.2">
      <c r="A8" s="23"/>
      <c r="B8" s="23"/>
      <c r="C8" s="23"/>
      <c r="D8" s="1"/>
      <c r="E8" s="1"/>
    </row>
    <row r="10" spans="1:5" ht="38.25" x14ac:dyDescent="0.2">
      <c r="A10" s="1"/>
      <c r="B10" s="117" t="s">
        <v>81</v>
      </c>
      <c r="C10" s="117" t="s">
        <v>44</v>
      </c>
      <c r="D10" s="117" t="s">
        <v>80</v>
      </c>
    </row>
    <row r="11" spans="1:5" x14ac:dyDescent="0.2">
      <c r="A11" s="50" t="s">
        <v>49</v>
      </c>
      <c r="B11" s="56">
        <f>'Gersteltec GM Summary'!F6</f>
        <v>50</v>
      </c>
      <c r="C11" s="2">
        <f>(B11/725.6)^(-1/0.6937)</f>
        <v>47.280550886760295</v>
      </c>
      <c r="D11" s="2">
        <f>2*(B11*7.04+28.8)</f>
        <v>761.6</v>
      </c>
    </row>
    <row r="12" spans="1:5" x14ac:dyDescent="0.2">
      <c r="A12" s="50" t="s">
        <v>50</v>
      </c>
      <c r="B12" s="57">
        <f>'Gersteltec GM Summary'!F6</f>
        <v>50</v>
      </c>
      <c r="C12" s="2">
        <f>(B12/725.6)^(-1/0.6937)</f>
        <v>47.280550886760295</v>
      </c>
      <c r="D12" s="2">
        <f>B12*7.04+28.8</f>
        <v>380.8</v>
      </c>
    </row>
    <row r="20" spans="2:5" ht="18" x14ac:dyDescent="0.25">
      <c r="B20" s="55"/>
    </row>
    <row r="21" spans="2:5" x14ac:dyDescent="0.2">
      <c r="E21" s="28"/>
    </row>
  </sheetData>
  <hyperlinks>
    <hyperlink ref="E1" location="Home!A5" display="Home" xr:uid="{00000000-0004-0000-1000-000000000000}"/>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4"/>
  <sheetViews>
    <sheetView workbookViewId="0">
      <selection activeCell="D12" sqref="D12"/>
    </sheetView>
  </sheetViews>
  <sheetFormatPr baseColWidth="10" defaultColWidth="11.42578125" defaultRowHeight="12.75" x14ac:dyDescent="0.2"/>
  <cols>
    <col min="1" max="5" width="15.42578125" customWidth="1"/>
  </cols>
  <sheetData>
    <row r="1" spans="1:6" ht="18" x14ac:dyDescent="0.25">
      <c r="A1" s="22" t="s">
        <v>3</v>
      </c>
      <c r="E1" s="55" t="s">
        <v>52</v>
      </c>
    </row>
    <row r="2" spans="1:6" ht="39.75" x14ac:dyDescent="0.2">
      <c r="A2" s="75" t="s">
        <v>44</v>
      </c>
      <c r="B2" s="75" t="s">
        <v>45</v>
      </c>
      <c r="C2" s="75"/>
      <c r="D2" s="75" t="s">
        <v>45</v>
      </c>
      <c r="E2" s="75" t="s">
        <v>46</v>
      </c>
      <c r="F2" s="24"/>
    </row>
    <row r="3" spans="1:6" ht="12.75" customHeight="1" x14ac:dyDescent="0.2">
      <c r="A3" s="1">
        <v>2000</v>
      </c>
      <c r="B3" s="1">
        <v>10.8</v>
      </c>
      <c r="C3" s="1"/>
      <c r="D3" s="1">
        <v>5.75</v>
      </c>
      <c r="E3" s="2">
        <f>159*0.4*1.15</f>
        <v>73.14</v>
      </c>
    </row>
    <row r="4" spans="1:6" x14ac:dyDescent="0.2">
      <c r="A4" s="1">
        <v>4000</v>
      </c>
      <c r="B4" s="1">
        <v>5.75</v>
      </c>
      <c r="C4" s="1"/>
      <c r="D4" s="1">
        <v>10.8</v>
      </c>
      <c r="E4" s="2">
        <f>195*0.4*1.15</f>
        <v>89.699999999999989</v>
      </c>
    </row>
    <row r="5" spans="1:6" x14ac:dyDescent="0.2">
      <c r="A5" s="1"/>
      <c r="B5" s="1"/>
      <c r="C5" s="1"/>
      <c r="D5" s="1"/>
      <c r="E5" s="1"/>
    </row>
    <row r="6" spans="1:6" x14ac:dyDescent="0.2">
      <c r="A6" s="1"/>
      <c r="B6" s="1"/>
      <c r="C6" s="1"/>
      <c r="D6" s="1"/>
      <c r="E6" s="1"/>
    </row>
    <row r="7" spans="1:6" x14ac:dyDescent="0.2">
      <c r="A7" s="1"/>
      <c r="B7" s="1"/>
      <c r="C7" s="1"/>
      <c r="D7" s="1"/>
      <c r="E7" s="1"/>
    </row>
    <row r="10" spans="1:6" ht="38.25" x14ac:dyDescent="0.2">
      <c r="A10" s="1"/>
      <c r="B10" s="117" t="s">
        <v>81</v>
      </c>
      <c r="C10" s="117" t="s">
        <v>44</v>
      </c>
      <c r="D10" s="117" t="s">
        <v>80</v>
      </c>
      <c r="E10" s="75"/>
    </row>
    <row r="11" spans="1:6" x14ac:dyDescent="0.2">
      <c r="A11" s="58" t="s">
        <v>49</v>
      </c>
      <c r="B11" s="56">
        <f>'Gersteltec GM Summary'!F6</f>
        <v>50</v>
      </c>
      <c r="C11" s="2">
        <f>(B11/11545)^(-1/0.9169)</f>
        <v>378.11554424972661</v>
      </c>
      <c r="D11" s="2">
        <f>2*(B11*3.366+53.647)</f>
        <v>443.89400000000001</v>
      </c>
    </row>
    <row r="12" spans="1:6" x14ac:dyDescent="0.2">
      <c r="A12" s="58" t="s">
        <v>50</v>
      </c>
      <c r="B12" s="57">
        <f>'Gersteltec GM Summary'!F6</f>
        <v>50</v>
      </c>
      <c r="C12" s="2">
        <f>(B12/11545)^(-1/0.9169)</f>
        <v>378.11554424972661</v>
      </c>
      <c r="D12" s="2">
        <f>B12*3.366+53.647</f>
        <v>221.947</v>
      </c>
    </row>
    <row r="14" spans="1:6" ht="18" x14ac:dyDescent="0.25">
      <c r="D14" s="55"/>
      <c r="E14" s="28"/>
    </row>
  </sheetData>
  <hyperlinks>
    <hyperlink ref="E1" location="Home!A5" display="Home" xr:uid="{00000000-0004-0000-1100-000000000000}"/>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
  <sheetViews>
    <sheetView workbookViewId="0">
      <selection activeCell="D11" sqref="D11"/>
    </sheetView>
  </sheetViews>
  <sheetFormatPr baseColWidth="10" defaultColWidth="11.42578125" defaultRowHeight="12.75" x14ac:dyDescent="0.2"/>
  <cols>
    <col min="1" max="1" width="15.28515625" customWidth="1"/>
    <col min="2" max="2" width="15.85546875" customWidth="1"/>
    <col min="3" max="5" width="15.28515625" customWidth="1"/>
  </cols>
  <sheetData>
    <row r="1" spans="1:6" ht="18" x14ac:dyDescent="0.25">
      <c r="A1" s="22" t="s">
        <v>4</v>
      </c>
      <c r="E1" s="55" t="s">
        <v>52</v>
      </c>
    </row>
    <row r="2" spans="1:6" ht="39.75" x14ac:dyDescent="0.2">
      <c r="A2" s="75" t="s">
        <v>44</v>
      </c>
      <c r="B2" s="75" t="s">
        <v>45</v>
      </c>
      <c r="C2" s="75"/>
      <c r="D2" s="75" t="s">
        <v>45</v>
      </c>
      <c r="E2" s="75" t="s">
        <v>46</v>
      </c>
      <c r="F2" s="1"/>
    </row>
    <row r="3" spans="1:6" ht="12.75" customHeight="1" x14ac:dyDescent="0.2">
      <c r="A3" s="1">
        <v>2000</v>
      </c>
      <c r="B3" s="1">
        <v>38.5</v>
      </c>
      <c r="C3" s="1"/>
      <c r="D3" s="1">
        <v>18.399999999999999</v>
      </c>
      <c r="E3" s="2">
        <f>265*0.4*1.15</f>
        <v>121.89999999999999</v>
      </c>
      <c r="F3" s="1"/>
    </row>
    <row r="4" spans="1:6" x14ac:dyDescent="0.2">
      <c r="A4" s="1">
        <v>4000</v>
      </c>
      <c r="B4" s="1">
        <v>18.399999999999999</v>
      </c>
      <c r="C4" s="1"/>
      <c r="D4" s="1">
        <v>38.5</v>
      </c>
      <c r="E4" s="2">
        <f>354*0.4*1.15</f>
        <v>162.83999999999997</v>
      </c>
      <c r="F4" s="1"/>
    </row>
    <row r="5" spans="1:6" x14ac:dyDescent="0.2">
      <c r="A5" s="1"/>
      <c r="B5" s="1"/>
      <c r="C5" s="1"/>
      <c r="D5" s="1"/>
      <c r="E5" s="1"/>
      <c r="F5" s="1"/>
    </row>
    <row r="6" spans="1:6" x14ac:dyDescent="0.2">
      <c r="A6" s="1"/>
      <c r="B6" s="1"/>
      <c r="C6" s="1"/>
      <c r="D6" s="1"/>
      <c r="E6" s="1"/>
      <c r="F6" s="1"/>
    </row>
    <row r="7" spans="1:6" x14ac:dyDescent="0.2">
      <c r="A7" s="1"/>
      <c r="B7" s="1"/>
      <c r="C7" s="1"/>
      <c r="D7" s="1"/>
      <c r="E7" s="1"/>
      <c r="F7" s="1"/>
    </row>
    <row r="10" spans="1:6" ht="27" x14ac:dyDescent="0.2">
      <c r="A10" s="1"/>
      <c r="B10" s="117" t="s">
        <v>81</v>
      </c>
      <c r="C10" s="117" t="s">
        <v>44</v>
      </c>
      <c r="D10" s="117" t="s">
        <v>80</v>
      </c>
    </row>
    <row r="11" spans="1:6" x14ac:dyDescent="0.2">
      <c r="A11" s="58" t="s">
        <v>244</v>
      </c>
      <c r="B11" s="56">
        <f>'Gersteltec GM Summary'!F6</f>
        <v>50</v>
      </c>
      <c r="C11" s="2">
        <f>(B11/135376)^(-1/1.074)</f>
        <v>1570.5906604647312</v>
      </c>
      <c r="D11" s="2">
        <f>2*(B11*2.017+85.159)</f>
        <v>372.01800000000003</v>
      </c>
      <c r="E11" s="1"/>
    </row>
    <row r="12" spans="1:6" x14ac:dyDescent="0.2">
      <c r="A12" s="58" t="s">
        <v>243</v>
      </c>
      <c r="B12" s="57">
        <f>'Gersteltec GM Summary'!F6</f>
        <v>50</v>
      </c>
      <c r="C12" s="2">
        <f>(B12/135376)^(-1/1.074)</f>
        <v>1570.5906604647312</v>
      </c>
      <c r="D12" s="2">
        <f>B12*2.017+85.159</f>
        <v>186.00900000000001</v>
      </c>
    </row>
    <row r="15" spans="1:6" ht="18" x14ac:dyDescent="0.25">
      <c r="D15" s="55"/>
    </row>
    <row r="17" spans="5:5" x14ac:dyDescent="0.2">
      <c r="E17" s="28"/>
    </row>
  </sheetData>
  <hyperlinks>
    <hyperlink ref="E1" location="Home!A5" display="Home" xr:uid="{00000000-0004-0000-1200-000000000000}"/>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6"/>
  <sheetViews>
    <sheetView zoomScaleNormal="100" workbookViewId="0">
      <selection activeCell="A3" sqref="A3:C10"/>
    </sheetView>
  </sheetViews>
  <sheetFormatPr baseColWidth="10" defaultColWidth="11.5703125" defaultRowHeight="12.75" x14ac:dyDescent="0.2"/>
  <cols>
    <col min="1" max="3" width="11.5703125" style="62"/>
    <col min="4" max="4" width="5.7109375" style="1" customWidth="1"/>
    <col min="5" max="5" width="22.85546875" style="62" customWidth="1"/>
    <col min="6" max="6" width="12.85546875" style="62" customWidth="1"/>
    <col min="7" max="7" width="12.85546875" style="1" customWidth="1"/>
    <col min="8" max="8" width="4.28515625" style="1" customWidth="1"/>
    <col min="9" max="9" width="11.5703125" style="62" customWidth="1"/>
    <col min="10" max="16384" width="11.5703125" style="62"/>
  </cols>
  <sheetData>
    <row r="2" spans="1:11" ht="18.75" customHeight="1" thickBot="1" x14ac:dyDescent="0.3">
      <c r="B2" s="3" t="s">
        <v>127</v>
      </c>
      <c r="F2" s="3"/>
      <c r="I2" s="55" t="s">
        <v>52</v>
      </c>
    </row>
    <row r="3" spans="1:11" ht="12.75" customHeight="1" x14ac:dyDescent="0.25">
      <c r="A3" s="186" t="s">
        <v>191</v>
      </c>
      <c r="B3" s="187"/>
      <c r="C3" s="188"/>
      <c r="E3" s="29" t="s">
        <v>151</v>
      </c>
      <c r="F3" s="3"/>
      <c r="G3" s="55"/>
    </row>
    <row r="4" spans="1:11" x14ac:dyDescent="0.2">
      <c r="A4" s="189"/>
      <c r="B4" s="190"/>
      <c r="C4" s="191"/>
      <c r="E4" s="1"/>
      <c r="G4" s="137"/>
    </row>
    <row r="5" spans="1:11" x14ac:dyDescent="0.2">
      <c r="A5" s="189"/>
      <c r="B5" s="190"/>
      <c r="C5" s="191"/>
      <c r="E5" s="22" t="s">
        <v>53</v>
      </c>
      <c r="G5" s="137"/>
      <c r="H5" s="148" t="s">
        <v>155</v>
      </c>
      <c r="I5" s="148"/>
      <c r="J5" s="148"/>
      <c r="K5" s="148"/>
    </row>
    <row r="6" spans="1:11" x14ac:dyDescent="0.2">
      <c r="A6" s="189"/>
      <c r="B6" s="190"/>
      <c r="C6" s="191"/>
      <c r="E6" s="147" t="s">
        <v>164</v>
      </c>
      <c r="F6" s="88">
        <v>50</v>
      </c>
      <c r="G6" s="138"/>
      <c r="H6" s="148"/>
      <c r="I6" s="149"/>
      <c r="J6" s="148"/>
      <c r="K6" s="148"/>
    </row>
    <row r="7" spans="1:11" x14ac:dyDescent="0.2">
      <c r="A7" s="189"/>
      <c r="B7" s="190"/>
      <c r="C7" s="191"/>
      <c r="E7" s="59"/>
      <c r="F7" s="89"/>
      <c r="H7" s="38"/>
      <c r="J7" s="150"/>
      <c r="K7" s="150"/>
    </row>
    <row r="8" spans="1:11" ht="12.75" customHeight="1" x14ac:dyDescent="0.2">
      <c r="A8" s="189"/>
      <c r="B8" s="190"/>
      <c r="C8" s="191"/>
      <c r="E8" s="163" t="s">
        <v>55</v>
      </c>
      <c r="F8" s="163"/>
    </row>
    <row r="9" spans="1:11" ht="12.75" customHeight="1" x14ac:dyDescent="0.2">
      <c r="A9" s="189"/>
      <c r="B9" s="190"/>
      <c r="C9" s="191"/>
      <c r="E9" s="163"/>
      <c r="F9" s="163"/>
    </row>
    <row r="10" spans="1:11" ht="13.5" thickBot="1" x14ac:dyDescent="0.25">
      <c r="A10" s="192"/>
      <c r="B10" s="193"/>
      <c r="C10" s="194"/>
      <c r="E10" s="22" t="s">
        <v>56</v>
      </c>
      <c r="F10" s="163"/>
    </row>
    <row r="12" spans="1:11" ht="15" customHeight="1" x14ac:dyDescent="0.2">
      <c r="A12" s="214" t="s">
        <v>0</v>
      </c>
      <c r="B12" s="214"/>
      <c r="C12" s="214"/>
    </row>
    <row r="13" spans="1:11" ht="15" customHeight="1" x14ac:dyDescent="0.2">
      <c r="A13" s="214"/>
      <c r="B13" s="214"/>
      <c r="C13" s="214"/>
    </row>
    <row r="14" spans="1:11" ht="15" customHeight="1" x14ac:dyDescent="0.2">
      <c r="A14" s="214"/>
      <c r="B14" s="214"/>
      <c r="C14" s="214"/>
      <c r="F14" s="215" t="s">
        <v>128</v>
      </c>
      <c r="G14" s="215" t="s">
        <v>129</v>
      </c>
    </row>
    <row r="15" spans="1:11" ht="15" customHeight="1" x14ac:dyDescent="0.2">
      <c r="F15" s="215"/>
      <c r="G15" s="215"/>
    </row>
    <row r="16" spans="1:11" ht="15" customHeight="1" thickBot="1" x14ac:dyDescent="0.25">
      <c r="A16" s="214" t="s">
        <v>6</v>
      </c>
      <c r="B16" s="214"/>
      <c r="C16" s="214"/>
      <c r="F16" s="1"/>
    </row>
    <row r="17" spans="1:16" ht="15" customHeight="1" x14ac:dyDescent="0.2">
      <c r="A17" s="214"/>
      <c r="B17" s="214"/>
      <c r="C17" s="214"/>
      <c r="E17" s="96" t="s">
        <v>54</v>
      </c>
      <c r="F17" s="85"/>
      <c r="G17" s="86"/>
      <c r="H17" s="165"/>
      <c r="I17" s="221" t="s">
        <v>7</v>
      </c>
      <c r="J17" s="221"/>
      <c r="K17" s="221"/>
      <c r="L17" s="221"/>
      <c r="M17" s="152"/>
      <c r="N17" s="152"/>
    </row>
    <row r="18" spans="1:16" ht="15" customHeight="1" thickBot="1" x14ac:dyDescent="0.25">
      <c r="A18" s="214"/>
      <c r="B18" s="214"/>
      <c r="C18" s="214"/>
      <c r="D18" s="68"/>
      <c r="E18" s="80" t="s">
        <v>8</v>
      </c>
      <c r="F18" s="35" t="str">
        <f>IF(AND('Results mr-DWL-5'!C13&gt;800,'Results mr-DWL-5'!C13&lt;5990),'Results mr-DWL-5'!C13,"NA")</f>
        <v>NA</v>
      </c>
      <c r="G18" s="36">
        <f>IF(AND('Results mr-DWL-40'!C13&gt;800,'Results mr-DWL-40'!C13&lt;4990),'Results mr-DWL-40'!C13,"NA")</f>
        <v>1590.6684572694592</v>
      </c>
      <c r="H18" s="167"/>
      <c r="I18" s="222"/>
      <c r="J18" s="222"/>
      <c r="K18" s="222"/>
      <c r="L18" s="222"/>
      <c r="M18" s="152"/>
      <c r="N18" s="152"/>
    </row>
    <row r="19" spans="1:16" ht="15" customHeight="1" thickTop="1" x14ac:dyDescent="0.2">
      <c r="E19" s="64"/>
      <c r="F19" s="66"/>
      <c r="G19" s="67"/>
      <c r="H19" s="168"/>
      <c r="I19" s="152"/>
      <c r="J19" s="152"/>
      <c r="K19" s="152"/>
      <c r="L19" s="152"/>
      <c r="M19" s="152"/>
      <c r="N19" s="152"/>
    </row>
    <row r="20" spans="1:16" ht="15" customHeight="1" x14ac:dyDescent="0.2">
      <c r="E20" s="30"/>
      <c r="F20" s="33"/>
      <c r="G20" s="34"/>
      <c r="H20" s="165"/>
      <c r="I20" s="225" t="s">
        <v>186</v>
      </c>
      <c r="J20" s="225"/>
      <c r="K20" s="225"/>
      <c r="L20" s="225"/>
      <c r="M20" s="152"/>
      <c r="N20" s="152"/>
    </row>
    <row r="21" spans="1:16" ht="15" customHeight="1" x14ac:dyDescent="0.2">
      <c r="A21" s="214" t="s">
        <v>183</v>
      </c>
      <c r="B21" s="214"/>
      <c r="C21" s="214"/>
      <c r="E21" s="30"/>
      <c r="F21" s="33"/>
      <c r="G21" s="34"/>
      <c r="H21" s="165"/>
      <c r="I21" s="225"/>
      <c r="J21" s="225"/>
      <c r="K21" s="225"/>
      <c r="L21" s="225"/>
      <c r="M21" s="152"/>
      <c r="N21" s="152"/>
    </row>
    <row r="22" spans="1:16" ht="15" customHeight="1" x14ac:dyDescent="0.2">
      <c r="A22" s="214"/>
      <c r="B22" s="214"/>
      <c r="C22" s="214"/>
      <c r="E22" s="97" t="s">
        <v>184</v>
      </c>
      <c r="F22" s="33"/>
      <c r="G22" s="34"/>
      <c r="H22" s="165"/>
      <c r="I22" s="225"/>
      <c r="J22" s="225"/>
      <c r="K22" s="225"/>
      <c r="L22" s="225"/>
      <c r="M22" s="152"/>
      <c r="N22" s="152"/>
    </row>
    <row r="23" spans="1:16" ht="15" customHeight="1" thickBot="1" x14ac:dyDescent="0.25">
      <c r="A23" s="214"/>
      <c r="B23" s="214"/>
      <c r="C23" s="214"/>
      <c r="D23" s="68"/>
      <c r="E23" s="80" t="s">
        <v>185</v>
      </c>
      <c r="F23" s="171">
        <v>60</v>
      </c>
      <c r="G23" s="172">
        <v>60</v>
      </c>
      <c r="H23" s="169"/>
      <c r="I23" s="226"/>
      <c r="J23" s="226"/>
      <c r="K23" s="226"/>
      <c r="L23" s="226"/>
      <c r="M23" s="152"/>
      <c r="N23" s="152"/>
    </row>
    <row r="24" spans="1:16" ht="15" customHeight="1" thickTop="1" x14ac:dyDescent="0.2">
      <c r="A24" s="95"/>
      <c r="D24" s="33"/>
      <c r="E24" s="30"/>
      <c r="F24" s="33"/>
      <c r="G24" s="34"/>
      <c r="H24" s="165"/>
    </row>
    <row r="25" spans="1:16" ht="15" customHeight="1" x14ac:dyDescent="0.2">
      <c r="A25" s="216" t="s">
        <v>9</v>
      </c>
      <c r="B25" s="217"/>
      <c r="C25" s="218"/>
      <c r="E25" s="97" t="s">
        <v>156</v>
      </c>
      <c r="F25" s="33"/>
      <c r="G25" s="34"/>
      <c r="H25" s="167"/>
      <c r="I25" s="223" t="s">
        <v>187</v>
      </c>
      <c r="J25" s="223"/>
      <c r="K25" s="223"/>
      <c r="L25" s="223"/>
    </row>
    <row r="26" spans="1:16" ht="15" customHeight="1" x14ac:dyDescent="0.2">
      <c r="A26" s="198"/>
      <c r="B26" s="199"/>
      <c r="C26" s="200"/>
      <c r="E26" s="82" t="s">
        <v>131</v>
      </c>
      <c r="F26" s="38">
        <v>2</v>
      </c>
      <c r="G26" s="39">
        <v>5</v>
      </c>
      <c r="H26" s="167"/>
      <c r="I26" s="223"/>
      <c r="J26" s="223"/>
      <c r="K26" s="223"/>
      <c r="L26" s="223"/>
    </row>
    <row r="27" spans="1:16" ht="15" customHeight="1" thickBot="1" x14ac:dyDescent="0.25">
      <c r="A27" s="201"/>
      <c r="B27" s="202"/>
      <c r="C27" s="203"/>
      <c r="D27" s="68"/>
      <c r="E27" s="83" t="s">
        <v>141</v>
      </c>
      <c r="F27" s="41">
        <v>4</v>
      </c>
      <c r="G27" s="45">
        <f>IF(AND('Results mr-DWL-40'!C13&gt;800,'Results mr-DWL-40'!C13&lt;4990),'Results mr-DWL-40'!E13,"NA")</f>
        <v>6.875</v>
      </c>
      <c r="H27" s="169"/>
      <c r="I27" s="224"/>
      <c r="J27" s="224"/>
      <c r="K27" s="224"/>
      <c r="L27" s="224"/>
    </row>
    <row r="28" spans="1:16" ht="15" customHeight="1" thickTop="1" x14ac:dyDescent="0.2">
      <c r="A28" s="95"/>
      <c r="B28" s="95"/>
      <c r="C28" s="95"/>
      <c r="D28" s="33"/>
      <c r="E28" s="30"/>
      <c r="F28" s="33"/>
      <c r="G28" s="34"/>
      <c r="H28" s="165"/>
      <c r="I28" s="146"/>
      <c r="J28" s="152"/>
      <c r="K28" s="152"/>
      <c r="L28" s="152"/>
    </row>
    <row r="29" spans="1:16" ht="15" customHeight="1" x14ac:dyDescent="0.2">
      <c r="A29" s="95"/>
      <c r="B29" s="95"/>
      <c r="C29" s="95"/>
      <c r="D29" s="33"/>
      <c r="E29" s="30"/>
      <c r="F29" s="33"/>
      <c r="G29" s="34"/>
      <c r="H29" s="165"/>
      <c r="I29" s="219" t="s">
        <v>70</v>
      </c>
      <c r="J29" s="219"/>
      <c r="K29" s="219"/>
      <c r="L29" s="219"/>
      <c r="M29" s="145"/>
      <c r="N29" s="152"/>
    </row>
    <row r="30" spans="1:16" ht="15" customHeight="1" x14ac:dyDescent="0.2">
      <c r="E30" s="30"/>
      <c r="G30" s="34"/>
      <c r="H30" s="165"/>
      <c r="I30" s="219"/>
      <c r="J30" s="219"/>
      <c r="K30" s="219"/>
      <c r="L30" s="219"/>
      <c r="M30" s="145"/>
      <c r="N30" s="152"/>
    </row>
    <row r="31" spans="1:16" ht="15" customHeight="1" x14ac:dyDescent="0.2">
      <c r="A31" s="195" t="s">
        <v>11</v>
      </c>
      <c r="B31" s="196"/>
      <c r="C31" s="197"/>
      <c r="E31" s="97" t="s">
        <v>10</v>
      </c>
      <c r="F31" s="98"/>
      <c r="G31" s="99"/>
      <c r="H31" s="165"/>
      <c r="I31" s="219"/>
      <c r="J31" s="219"/>
      <c r="K31" s="219"/>
      <c r="L31" s="219"/>
      <c r="M31" s="145"/>
      <c r="N31" s="152"/>
      <c r="O31" s="152"/>
      <c r="P31" s="152"/>
    </row>
    <row r="32" spans="1:16" ht="15" customHeight="1" x14ac:dyDescent="0.2">
      <c r="A32" s="198"/>
      <c r="B32" s="199"/>
      <c r="C32" s="200"/>
      <c r="E32" s="84"/>
      <c r="F32" s="91"/>
      <c r="G32" s="43"/>
      <c r="H32" s="165"/>
      <c r="I32" s="219"/>
      <c r="J32" s="219"/>
      <c r="K32" s="219"/>
      <c r="L32" s="219"/>
      <c r="M32" s="145"/>
      <c r="N32" s="152"/>
      <c r="O32" s="152"/>
      <c r="P32" s="152"/>
    </row>
    <row r="33" spans="1:16" ht="15" customHeight="1" thickBot="1" x14ac:dyDescent="0.25">
      <c r="A33" s="201"/>
      <c r="B33" s="202"/>
      <c r="C33" s="203"/>
      <c r="D33" s="68"/>
      <c r="E33" s="81" t="s">
        <v>12</v>
      </c>
      <c r="F33" s="92" t="str">
        <f>IF(AND('Results mr-DWL-5'!C13&gt;800,'Results mr-DWL-5'!C13&lt;5990),'Results mr-DWL-5'!D13,"NA")</f>
        <v>NA</v>
      </c>
      <c r="G33" s="46">
        <f>IF(AND('Results mr-DWL-40'!C13&gt;800,'Results mr-DWL-40'!C13&lt;4990),'Results mr-DWL-40'!D13,"NA")</f>
        <v>450</v>
      </c>
      <c r="H33" s="169"/>
      <c r="I33" s="220"/>
      <c r="J33" s="220"/>
      <c r="K33" s="220"/>
      <c r="L33" s="220"/>
      <c r="M33" s="145"/>
      <c r="N33" s="152"/>
      <c r="O33" s="152"/>
    </row>
    <row r="34" spans="1:16" ht="15" customHeight="1" thickTop="1" x14ac:dyDescent="0.2">
      <c r="E34" s="64"/>
      <c r="F34" s="33"/>
      <c r="G34" s="34"/>
      <c r="H34" s="165"/>
      <c r="I34" s="152"/>
      <c r="J34" s="152"/>
      <c r="K34" s="152"/>
      <c r="L34" s="152"/>
      <c r="M34" s="152"/>
      <c r="N34" s="152"/>
      <c r="O34" s="152"/>
    </row>
    <row r="35" spans="1:16" ht="15" customHeight="1" x14ac:dyDescent="0.2">
      <c r="A35" s="195" t="s">
        <v>13</v>
      </c>
      <c r="B35" s="196"/>
      <c r="C35" s="197"/>
      <c r="E35" s="97" t="s">
        <v>157</v>
      </c>
      <c r="F35" s="33"/>
      <c r="G35" s="34"/>
      <c r="H35" s="62"/>
      <c r="I35" s="219" t="s">
        <v>188</v>
      </c>
      <c r="J35" s="219"/>
      <c r="K35" s="219"/>
      <c r="L35" s="219"/>
      <c r="M35" s="145"/>
      <c r="N35" s="152"/>
      <c r="O35" s="152"/>
    </row>
    <row r="36" spans="1:16" ht="15" customHeight="1" x14ac:dyDescent="0.2">
      <c r="A36" s="198"/>
      <c r="B36" s="199"/>
      <c r="C36" s="200"/>
      <c r="E36" s="82" t="s">
        <v>131</v>
      </c>
      <c r="F36" s="38">
        <v>2</v>
      </c>
      <c r="G36" s="39">
        <v>5</v>
      </c>
      <c r="H36" s="62"/>
      <c r="I36" s="219"/>
      <c r="J36" s="219"/>
      <c r="K36" s="219"/>
      <c r="L36" s="219"/>
      <c r="M36" s="145"/>
      <c r="N36" s="152"/>
      <c r="O36" s="152"/>
    </row>
    <row r="37" spans="1:16" ht="15" customHeight="1" thickBot="1" x14ac:dyDescent="0.25">
      <c r="A37" s="201"/>
      <c r="B37" s="202"/>
      <c r="C37" s="203"/>
      <c r="D37" s="68"/>
      <c r="E37" s="83" t="s">
        <v>142</v>
      </c>
      <c r="F37" s="44" t="str">
        <f>IF(AND('Results mr-DWL-5'!C13&gt;800,'Results mr-DWL-5'!C13&lt;5990),'Results mr-DWL-5'!F13,"NA")</f>
        <v>NA</v>
      </c>
      <c r="G37" s="45">
        <f>IF(AND('Results mr-DWL-40'!C13&gt;800,'Results mr-DWL-40'!C13&lt;4990),'Results mr-DWL-40'!F13,"NA")</f>
        <v>6.875</v>
      </c>
      <c r="H37" s="142"/>
      <c r="I37" s="220"/>
      <c r="J37" s="220"/>
      <c r="K37" s="220"/>
      <c r="L37" s="220"/>
      <c r="M37" s="145"/>
      <c r="N37" s="152"/>
      <c r="O37" s="152"/>
      <c r="P37" s="152"/>
    </row>
    <row r="38" spans="1:16" ht="15" customHeight="1" thickTop="1" x14ac:dyDescent="0.2">
      <c r="E38" s="64"/>
      <c r="F38" s="33"/>
      <c r="G38" s="34"/>
      <c r="H38" s="62"/>
      <c r="M38" s="152"/>
      <c r="N38" s="152"/>
      <c r="O38" s="152"/>
      <c r="P38" s="152"/>
    </row>
    <row r="39" spans="1:16" ht="15" customHeight="1" x14ac:dyDescent="0.2">
      <c r="A39" s="195" t="s">
        <v>14</v>
      </c>
      <c r="B39" s="196"/>
      <c r="C39" s="197"/>
      <c r="E39" s="30"/>
      <c r="F39" s="33"/>
      <c r="G39" s="34"/>
      <c r="H39" s="62"/>
      <c r="I39" s="219" t="s">
        <v>69</v>
      </c>
      <c r="J39" s="219"/>
      <c r="K39" s="219"/>
      <c r="L39" s="219"/>
      <c r="M39" s="145"/>
      <c r="N39" s="152"/>
      <c r="O39" s="152"/>
      <c r="P39" s="152"/>
    </row>
    <row r="40" spans="1:16" ht="15" customHeight="1" x14ac:dyDescent="0.2">
      <c r="A40" s="198"/>
      <c r="B40" s="199"/>
      <c r="C40" s="200"/>
      <c r="E40" s="97" t="s">
        <v>158</v>
      </c>
      <c r="F40" s="68"/>
      <c r="G40" s="94"/>
      <c r="H40" s="62"/>
      <c r="I40" s="219"/>
      <c r="J40" s="219"/>
      <c r="K40" s="219"/>
      <c r="L40" s="219"/>
      <c r="M40" s="145"/>
      <c r="N40" s="152"/>
      <c r="O40" s="152"/>
      <c r="P40" s="152"/>
    </row>
    <row r="41" spans="1:16" ht="15" customHeight="1" thickBot="1" x14ac:dyDescent="0.25">
      <c r="A41" s="201"/>
      <c r="B41" s="202"/>
      <c r="C41" s="203"/>
      <c r="D41" s="68"/>
      <c r="E41" s="83" t="s">
        <v>65</v>
      </c>
      <c r="F41" s="40" t="str">
        <f>IF(AND('Results mr-DWL-5'!C13&gt;800,'Results mr-DWL-5'!C13&lt;5990),'Results mr-DWL-5'!G13,"NA")</f>
        <v>NA</v>
      </c>
      <c r="G41" s="46">
        <f>IF(AND('Results mr-DWL-40'!C13&gt;800,'Results mr-DWL-40'!C13&lt;4990),'Results mr-DWL-40'!G13,"NA")</f>
        <v>4.125</v>
      </c>
      <c r="H41" s="142"/>
      <c r="I41" s="220"/>
      <c r="J41" s="220"/>
      <c r="K41" s="220"/>
      <c r="L41" s="220"/>
      <c r="M41" s="145"/>
      <c r="N41" s="152"/>
      <c r="O41" s="152"/>
      <c r="P41" s="152"/>
    </row>
    <row r="42" spans="1:16" ht="15" customHeight="1" thickTop="1" x14ac:dyDescent="0.2">
      <c r="E42" s="64"/>
      <c r="F42" s="33"/>
      <c r="G42" s="34"/>
      <c r="H42" s="62"/>
      <c r="M42" s="166"/>
      <c r="N42" s="152"/>
      <c r="O42" s="152"/>
      <c r="P42" s="152"/>
    </row>
    <row r="43" spans="1:16" ht="15" customHeight="1" x14ac:dyDescent="0.2">
      <c r="A43" s="204" t="s">
        <v>15</v>
      </c>
      <c r="B43" s="205"/>
      <c r="C43" s="206"/>
      <c r="E43" s="30"/>
      <c r="F43" s="33"/>
      <c r="G43" s="34"/>
      <c r="H43" s="62"/>
      <c r="M43" s="152"/>
      <c r="N43" s="152"/>
      <c r="O43" s="152"/>
      <c r="P43" s="152"/>
    </row>
    <row r="44" spans="1:16" ht="15" customHeight="1" x14ac:dyDescent="0.25">
      <c r="A44" s="207"/>
      <c r="B44" s="208"/>
      <c r="C44" s="209"/>
      <c r="E44" s="158" t="s">
        <v>160</v>
      </c>
      <c r="F44" s="33"/>
      <c r="G44" s="34"/>
      <c r="H44" s="62"/>
      <c r="M44" s="152"/>
      <c r="N44" s="152"/>
      <c r="O44" s="152"/>
      <c r="P44" s="152"/>
    </row>
    <row r="45" spans="1:16" ht="15" customHeight="1" thickBot="1" x14ac:dyDescent="0.25">
      <c r="A45" s="210"/>
      <c r="B45" s="211"/>
      <c r="C45" s="212"/>
      <c r="D45" s="68"/>
      <c r="E45" s="135" t="s">
        <v>132</v>
      </c>
      <c r="F45" s="133">
        <v>30</v>
      </c>
      <c r="G45" s="134">
        <v>30</v>
      </c>
      <c r="H45" s="161"/>
      <c r="I45" s="162" t="s">
        <v>162</v>
      </c>
      <c r="J45" s="162"/>
      <c r="K45" s="162"/>
      <c r="L45" s="162"/>
      <c r="M45" s="152"/>
      <c r="N45" s="152"/>
      <c r="O45" s="152"/>
      <c r="P45" s="152"/>
    </row>
    <row r="46" spans="1:16" x14ac:dyDescent="0.2">
      <c r="H46" s="165"/>
      <c r="I46" s="152"/>
      <c r="J46" s="152"/>
      <c r="K46" s="152"/>
      <c r="L46" s="152"/>
      <c r="M46" s="152"/>
      <c r="N46" s="152"/>
      <c r="O46" s="152"/>
      <c r="P46" s="152"/>
    </row>
    <row r="48" spans="1:16" ht="12.75" customHeight="1" x14ac:dyDescent="0.2">
      <c r="E48" s="213" t="s">
        <v>167</v>
      </c>
      <c r="F48" s="213"/>
      <c r="G48" s="213"/>
      <c r="H48" s="170"/>
    </row>
    <row r="49" spans="3:13" s="47" customFormat="1" x14ac:dyDescent="0.2">
      <c r="D49" s="48"/>
      <c r="E49" s="213"/>
      <c r="F49" s="213"/>
      <c r="G49" s="213"/>
      <c r="H49" s="170"/>
    </row>
    <row r="50" spans="3:13" s="47" customFormat="1" x14ac:dyDescent="0.2">
      <c r="D50" s="48"/>
      <c r="E50" s="213"/>
      <c r="F50" s="213"/>
      <c r="G50" s="213"/>
      <c r="H50" s="170"/>
    </row>
    <row r="51" spans="3:13" s="47" customFormat="1" x14ac:dyDescent="0.2">
      <c r="D51" s="48"/>
      <c r="E51" s="49"/>
      <c r="G51" s="48"/>
      <c r="H51" s="48"/>
    </row>
    <row r="52" spans="3:13" s="47" customFormat="1" ht="25.5" x14ac:dyDescent="0.2">
      <c r="C52" s="111"/>
      <c r="D52" s="60"/>
      <c r="E52" s="124" t="s">
        <v>98</v>
      </c>
      <c r="F52" s="113"/>
      <c r="G52" s="113"/>
      <c r="H52" s="113"/>
      <c r="I52" s="111"/>
      <c r="J52" s="111"/>
      <c r="K52" s="111"/>
      <c r="L52" s="111"/>
      <c r="M52" s="111"/>
    </row>
    <row r="53" spans="3:13" s="47" customFormat="1" x14ac:dyDescent="0.2">
      <c r="C53" s="111"/>
      <c r="D53" s="60"/>
      <c r="E53" s="113"/>
      <c r="F53" s="113"/>
      <c r="G53" s="113"/>
      <c r="H53" s="113"/>
      <c r="I53" s="111"/>
      <c r="J53" s="111"/>
      <c r="K53" s="111"/>
      <c r="L53" s="111"/>
      <c r="M53" s="111"/>
    </row>
    <row r="54" spans="3:13" x14ac:dyDescent="0.2">
      <c r="C54" s="101"/>
      <c r="D54" s="112"/>
      <c r="E54" s="113"/>
      <c r="F54" s="113"/>
      <c r="G54" s="113"/>
      <c r="H54" s="113"/>
      <c r="I54" s="101"/>
      <c r="J54" s="101"/>
      <c r="K54" s="101"/>
      <c r="L54" s="101"/>
      <c r="M54" s="101"/>
    </row>
    <row r="55" spans="3:13" x14ac:dyDescent="0.2">
      <c r="C55" s="101"/>
      <c r="D55" s="112"/>
      <c r="E55" s="101"/>
      <c r="F55" s="101"/>
      <c r="G55" s="112"/>
      <c r="H55" s="112"/>
      <c r="I55" s="101"/>
      <c r="J55" s="101"/>
      <c r="K55" s="101"/>
      <c r="L55" s="101"/>
      <c r="M55" s="101"/>
    </row>
    <row r="56" spans="3:13" x14ac:dyDescent="0.2">
      <c r="C56" s="101"/>
      <c r="D56" s="112"/>
      <c r="E56" s="101"/>
      <c r="F56" s="101"/>
      <c r="G56" s="112"/>
      <c r="H56" s="112"/>
      <c r="I56" s="101"/>
      <c r="J56" s="101"/>
      <c r="K56" s="101"/>
      <c r="L56" s="101"/>
      <c r="M56" s="101"/>
    </row>
  </sheetData>
  <mergeCells count="18">
    <mergeCell ref="I39:L41"/>
    <mergeCell ref="I17:L18"/>
    <mergeCell ref="I25:L27"/>
    <mergeCell ref="I29:L33"/>
    <mergeCell ref="I35:L37"/>
    <mergeCell ref="I20:L23"/>
    <mergeCell ref="E48:G50"/>
    <mergeCell ref="A12:C14"/>
    <mergeCell ref="G14:G15"/>
    <mergeCell ref="F14:F15"/>
    <mergeCell ref="A25:C27"/>
    <mergeCell ref="A16:C18"/>
    <mergeCell ref="A21:C23"/>
    <mergeCell ref="A3:C10"/>
    <mergeCell ref="A31:C33"/>
    <mergeCell ref="A35:C37"/>
    <mergeCell ref="A39:C41"/>
    <mergeCell ref="A43:C45"/>
  </mergeCells>
  <conditionalFormatting sqref="F37:G37 F41:G41 G27">
    <cfRule type="cellIs" dxfId="13" priority="4" stopIfTrue="1" operator="between">
      <formula>1</formula>
      <formula>600</formula>
    </cfRule>
  </conditionalFormatting>
  <conditionalFormatting sqref="F33:G33">
    <cfRule type="cellIs" dxfId="12" priority="3" stopIfTrue="1" operator="between">
      <formula>0</formula>
      <formula>10000</formula>
    </cfRule>
  </conditionalFormatting>
  <conditionalFormatting sqref="F18:G18">
    <cfRule type="cellIs" dxfId="11" priority="2" stopIfTrue="1" operator="between">
      <formula>800</formula>
      <formula>5990</formula>
    </cfRule>
  </conditionalFormatting>
  <hyperlinks>
    <hyperlink ref="F14" location="'Results GM 1060'!A13" display="GM 1060" xr:uid="{00000000-0004-0000-0100-000000000000}"/>
    <hyperlink ref="E52" location="Troubleshoot!A1" display="Troubleshooting guidelines" xr:uid="{00000000-0004-0000-0100-000001000000}"/>
    <hyperlink ref="I2" location="Home!A5" display="Home" xr:uid="{00000000-0004-0000-0100-000002000000}"/>
    <hyperlink ref="E3" r:id="rId1" xr:uid="{00000000-0004-0000-0100-000003000000}"/>
    <hyperlink ref="G14" location="'Results GM 1070'!A13" display="GM 1070" xr:uid="{00000000-0004-0000-0100-000004000000}"/>
    <hyperlink ref="E6" location="'Z13 Runcard'!A1" display="Z13 Sawatec LSM250" xr:uid="{00000000-0004-0000-0100-000005000000}"/>
    <hyperlink ref="I17" location="'Spin graph'!A1" display="Velocity profile" xr:uid="{00000000-0004-0000-0100-000006000000}"/>
    <hyperlink ref="F14:F15" r:id="rId2" display="mr-DWL-5" xr:uid="{00000000-0004-0000-0100-000007000000}"/>
    <hyperlink ref="G14:G15" r:id="rId3" display="mr-DWL-40" xr:uid="{00000000-0004-0000-0100-000008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5"/>
  <sheetViews>
    <sheetView workbookViewId="0">
      <selection activeCell="D11" sqref="D11"/>
    </sheetView>
  </sheetViews>
  <sheetFormatPr baseColWidth="10" defaultColWidth="11.42578125" defaultRowHeight="12.75" x14ac:dyDescent="0.2"/>
  <cols>
    <col min="1" max="5" width="15.85546875" customWidth="1"/>
  </cols>
  <sheetData>
    <row r="1" spans="1:5" ht="18" x14ac:dyDescent="0.25">
      <c r="A1" s="22" t="s">
        <v>5</v>
      </c>
      <c r="E1" s="55" t="s">
        <v>52</v>
      </c>
    </row>
    <row r="2" spans="1:5" ht="39.75" x14ac:dyDescent="0.2">
      <c r="A2" s="75" t="s">
        <v>44</v>
      </c>
      <c r="B2" s="75" t="s">
        <v>45</v>
      </c>
      <c r="C2" s="75"/>
      <c r="D2" s="75" t="s">
        <v>45</v>
      </c>
      <c r="E2" s="75" t="s">
        <v>46</v>
      </c>
    </row>
    <row r="3" spans="1:5" ht="12.75" customHeight="1" x14ac:dyDescent="0.2">
      <c r="A3" s="1">
        <v>2000</v>
      </c>
      <c r="B3" s="1">
        <v>94.2</v>
      </c>
      <c r="C3" s="1"/>
      <c r="D3" s="1">
        <v>43</v>
      </c>
      <c r="E3" s="2">
        <v>147</v>
      </c>
    </row>
    <row r="4" spans="1:5" x14ac:dyDescent="0.2">
      <c r="A4" s="1">
        <v>4000</v>
      </c>
      <c r="B4" s="1">
        <v>43</v>
      </c>
      <c r="C4" s="1"/>
      <c r="D4" s="1">
        <v>94.2</v>
      </c>
      <c r="E4" s="2">
        <v>174</v>
      </c>
    </row>
    <row r="5" spans="1:5" x14ac:dyDescent="0.2">
      <c r="A5" s="1"/>
      <c r="B5" s="1"/>
      <c r="C5" s="1"/>
      <c r="D5" s="1"/>
      <c r="E5" s="1"/>
    </row>
    <row r="6" spans="1:5" x14ac:dyDescent="0.2">
      <c r="A6" s="1"/>
      <c r="B6" s="1"/>
      <c r="C6" s="1"/>
      <c r="D6" s="1"/>
      <c r="E6" s="1"/>
    </row>
    <row r="10" spans="1:5" ht="27" x14ac:dyDescent="0.2">
      <c r="A10" s="1"/>
      <c r="B10" s="117" t="s">
        <v>81</v>
      </c>
      <c r="C10" s="117" t="s">
        <v>44</v>
      </c>
      <c r="D10" s="117" t="s">
        <v>80</v>
      </c>
    </row>
    <row r="11" spans="1:5" x14ac:dyDescent="0.2">
      <c r="A11" s="58" t="s">
        <v>49</v>
      </c>
      <c r="B11" s="56">
        <f>'Gersteltec GM Summary'!F6</f>
        <v>50</v>
      </c>
      <c r="C11" s="2">
        <f>(B11/511492)^(-1/1.1314)</f>
        <v>3500.7854485028492</v>
      </c>
      <c r="D11" s="2">
        <f>2*(B11*2.017+85.159)</f>
        <v>372.01800000000003</v>
      </c>
    </row>
    <row r="12" spans="1:5" x14ac:dyDescent="0.2">
      <c r="A12" s="58" t="s">
        <v>50</v>
      </c>
      <c r="B12" s="57">
        <f>'Gersteltec GM Summary'!F6</f>
        <v>50</v>
      </c>
      <c r="C12" s="2">
        <f>(B12/511492)^(-1/1.1314)</f>
        <v>3500.7854485028492</v>
      </c>
      <c r="D12" s="2">
        <f>B11*2.017+85.159</f>
        <v>186.00900000000001</v>
      </c>
    </row>
    <row r="14" spans="1:5" ht="18" x14ac:dyDescent="0.25">
      <c r="E14" s="55"/>
    </row>
    <row r="15" spans="1:5" x14ac:dyDescent="0.2">
      <c r="E15" s="28"/>
    </row>
  </sheetData>
  <hyperlinks>
    <hyperlink ref="E1" location="Home!A5" display="Home" xr:uid="{00000000-0004-0000-1300-000000000000}"/>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F11"/>
  <sheetViews>
    <sheetView zoomScaleNormal="100" workbookViewId="0"/>
  </sheetViews>
  <sheetFormatPr baseColWidth="10" defaultColWidth="11.42578125" defaultRowHeight="12.75" x14ac:dyDescent="0.2"/>
  <cols>
    <col min="1" max="1" width="19" style="118" customWidth="1"/>
    <col min="2" max="2" width="51" style="118" customWidth="1"/>
    <col min="3" max="3" width="41.85546875" style="118" customWidth="1"/>
    <col min="4" max="4" width="29.28515625" style="118" customWidth="1"/>
    <col min="5" max="16384" width="11.42578125" style="120"/>
  </cols>
  <sheetData>
    <row r="3" spans="1:6" ht="177" customHeight="1" x14ac:dyDescent="0.2">
      <c r="A3" s="123"/>
      <c r="B3" s="107" t="s">
        <v>100</v>
      </c>
      <c r="C3" s="259" t="s">
        <v>102</v>
      </c>
      <c r="D3" s="259"/>
      <c r="E3" s="125"/>
      <c r="F3" s="125"/>
    </row>
    <row r="4" spans="1:6" x14ac:dyDescent="0.2">
      <c r="B4" s="122"/>
      <c r="C4" s="101"/>
    </row>
    <row r="6" spans="1:6" s="22" customFormat="1" x14ac:dyDescent="0.2">
      <c r="A6" s="119" t="s">
        <v>82</v>
      </c>
      <c r="B6" s="119" t="s">
        <v>17</v>
      </c>
      <c r="C6" s="119" t="s">
        <v>83</v>
      </c>
      <c r="D6" s="119" t="s">
        <v>84</v>
      </c>
    </row>
    <row r="7" spans="1:6" ht="119.25" customHeight="1" x14ac:dyDescent="0.2">
      <c r="A7" s="121" t="s">
        <v>85</v>
      </c>
      <c r="B7" s="121" t="s">
        <v>86</v>
      </c>
      <c r="C7" s="121" t="s">
        <v>94</v>
      </c>
      <c r="D7" s="121"/>
    </row>
    <row r="8" spans="1:6" ht="120.75" customHeight="1" x14ac:dyDescent="0.2">
      <c r="A8" s="121" t="s">
        <v>89</v>
      </c>
      <c r="B8" s="121" t="s">
        <v>95</v>
      </c>
      <c r="C8" s="121" t="s">
        <v>97</v>
      </c>
      <c r="D8" s="121"/>
    </row>
    <row r="9" spans="1:6" ht="120.75" customHeight="1" x14ac:dyDescent="0.2">
      <c r="A9" s="121" t="s">
        <v>90</v>
      </c>
      <c r="B9" s="121" t="s">
        <v>96</v>
      </c>
      <c r="C9" s="121" t="s">
        <v>126</v>
      </c>
      <c r="D9" s="121"/>
    </row>
    <row r="10" spans="1:6" ht="120.75" customHeight="1" x14ac:dyDescent="0.2">
      <c r="A10" s="121" t="s">
        <v>87</v>
      </c>
      <c r="B10" s="121" t="s">
        <v>103</v>
      </c>
      <c r="C10" s="121" t="s">
        <v>93</v>
      </c>
      <c r="D10" s="121"/>
    </row>
    <row r="11" spans="1:6" ht="120.75" customHeight="1" x14ac:dyDescent="0.2">
      <c r="A11" s="121" t="s">
        <v>88</v>
      </c>
      <c r="B11" s="121" t="s">
        <v>91</v>
      </c>
      <c r="C11" s="121" t="s">
        <v>92</v>
      </c>
      <c r="D11" s="121"/>
    </row>
  </sheetData>
  <mergeCells count="1">
    <mergeCell ref="C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8"/>
  <sheetViews>
    <sheetView topLeftCell="A5" workbookViewId="0">
      <selection activeCell="F7" sqref="F7"/>
    </sheetView>
  </sheetViews>
  <sheetFormatPr baseColWidth="10" defaultColWidth="11.5703125" defaultRowHeight="12.75" x14ac:dyDescent="0.2"/>
  <cols>
    <col min="1" max="3" width="11.5703125" style="25"/>
    <col min="4" max="4" width="5.7109375" style="1" customWidth="1"/>
    <col min="5" max="5" width="24.28515625" style="25" customWidth="1"/>
    <col min="6" max="6" width="12.85546875" style="25" customWidth="1"/>
    <col min="7" max="7" width="12.85546875" style="2" customWidth="1"/>
    <col min="8" max="10" width="12.85546875" style="1" customWidth="1"/>
    <col min="11" max="11" width="4.28515625" style="1" customWidth="1"/>
    <col min="12" max="12" width="11.5703125" style="25" customWidth="1"/>
    <col min="13" max="16384" width="11.5703125" style="25"/>
  </cols>
  <sheetData>
    <row r="1" spans="1:13" s="62" customFormat="1" x14ac:dyDescent="0.2">
      <c r="D1" s="1"/>
      <c r="G1" s="2"/>
      <c r="H1" s="1"/>
      <c r="I1" s="1"/>
      <c r="J1" s="1"/>
      <c r="K1" s="1"/>
    </row>
    <row r="2" spans="1:13" ht="18.75" customHeight="1" x14ac:dyDescent="0.25">
      <c r="B2" s="3" t="s">
        <v>202</v>
      </c>
      <c r="F2" s="3"/>
      <c r="H2" s="55" t="s">
        <v>52</v>
      </c>
    </row>
    <row r="3" spans="1:13" s="62" customFormat="1" ht="12.75" customHeight="1" x14ac:dyDescent="0.25">
      <c r="B3" s="3"/>
      <c r="D3" s="1"/>
      <c r="E3" s="29" t="s">
        <v>152</v>
      </c>
      <c r="F3" s="3"/>
      <c r="G3" s="2"/>
      <c r="H3" s="1"/>
      <c r="I3" s="55"/>
      <c r="J3" s="1"/>
      <c r="K3" s="1"/>
    </row>
    <row r="4" spans="1:13" x14ac:dyDescent="0.2">
      <c r="E4" s="1"/>
      <c r="F4" s="58"/>
    </row>
    <row r="5" spans="1:13" s="62" customFormat="1" ht="12.75" customHeight="1" x14ac:dyDescent="0.2">
      <c r="D5" s="1"/>
      <c r="E5" s="22" t="s">
        <v>239</v>
      </c>
      <c r="H5" s="219" t="s">
        <v>154</v>
      </c>
      <c r="I5" s="219"/>
      <c r="J5" s="219"/>
      <c r="K5" s="145"/>
    </row>
    <row r="6" spans="1:13" ht="12.75" customHeight="1" x14ac:dyDescent="0.2">
      <c r="E6" s="178" t="s">
        <v>200</v>
      </c>
      <c r="F6" s="88">
        <v>50</v>
      </c>
      <c r="G6" s="141"/>
      <c r="H6" s="220"/>
      <c r="I6" s="220"/>
      <c r="J6" s="220"/>
      <c r="K6" s="145"/>
    </row>
    <row r="7" spans="1:13" ht="13.5" thickBot="1" x14ac:dyDescent="0.25">
      <c r="E7" s="59"/>
      <c r="F7" s="89"/>
      <c r="G7" s="90"/>
    </row>
    <row r="8" spans="1:13" s="62" customFormat="1" ht="27.75" customHeight="1" thickBot="1" x14ac:dyDescent="0.25">
      <c r="D8" s="1"/>
      <c r="E8" s="163" t="s">
        <v>240</v>
      </c>
      <c r="F8" s="163"/>
      <c r="G8" s="179" t="s">
        <v>201</v>
      </c>
      <c r="H8" s="1"/>
      <c r="I8" s="1"/>
      <c r="J8" s="1"/>
      <c r="K8" s="1"/>
      <c r="L8" s="238" t="s">
        <v>199</v>
      </c>
      <c r="M8" s="239"/>
    </row>
    <row r="9" spans="1:13" s="62" customFormat="1" x14ac:dyDescent="0.2">
      <c r="D9" s="1"/>
      <c r="E9" s="59"/>
      <c r="F9" s="89"/>
      <c r="G9" s="90"/>
      <c r="H9" s="1"/>
      <c r="I9" s="1"/>
      <c r="J9" s="1"/>
      <c r="K9" s="1"/>
      <c r="L9" s="30"/>
      <c r="M9" s="176"/>
    </row>
    <row r="10" spans="1:13" s="62" customFormat="1" ht="12.75" customHeight="1" x14ac:dyDescent="0.2">
      <c r="D10" s="1"/>
      <c r="E10" s="163" t="s">
        <v>193</v>
      </c>
      <c r="F10" s="163"/>
      <c r="G10" s="90"/>
      <c r="H10" s="1"/>
      <c r="I10" s="1"/>
      <c r="J10" s="1"/>
      <c r="K10" s="1"/>
      <c r="L10" s="30" t="s">
        <v>196</v>
      </c>
      <c r="M10" s="176"/>
    </row>
    <row r="11" spans="1:13" s="62" customFormat="1" ht="12.75" customHeight="1" x14ac:dyDescent="0.2">
      <c r="D11" s="1"/>
      <c r="E11" s="163"/>
      <c r="F11" s="163"/>
      <c r="G11" s="90"/>
      <c r="H11" s="1"/>
      <c r="I11" s="1"/>
      <c r="J11" s="1"/>
      <c r="K11" s="1"/>
      <c r="L11" s="30" t="s">
        <v>51</v>
      </c>
      <c r="M11" s="176"/>
    </row>
    <row r="12" spans="1:13" s="62" customFormat="1" x14ac:dyDescent="0.2">
      <c r="D12" s="1"/>
      <c r="E12" s="22" t="s">
        <v>194</v>
      </c>
      <c r="F12" s="163"/>
      <c r="G12" s="90"/>
      <c r="H12" s="1"/>
      <c r="I12" s="1"/>
      <c r="J12" s="1"/>
      <c r="K12" s="1"/>
      <c r="L12" s="30" t="s">
        <v>201</v>
      </c>
      <c r="M12" s="176"/>
    </row>
    <row r="13" spans="1:13" ht="13.5" thickBot="1" x14ac:dyDescent="0.25">
      <c r="E13" s="62"/>
      <c r="F13" s="62"/>
      <c r="L13" s="177" t="s">
        <v>241</v>
      </c>
      <c r="M13" s="260" t="s">
        <v>242</v>
      </c>
    </row>
    <row r="14" spans="1:13" ht="15" customHeight="1" x14ac:dyDescent="0.2">
      <c r="A14" s="214" t="s">
        <v>0</v>
      </c>
      <c r="B14" s="214"/>
      <c r="C14" s="214"/>
      <c r="F14" s="62"/>
    </row>
    <row r="15" spans="1:13" ht="15" customHeight="1" x14ac:dyDescent="0.2">
      <c r="A15" s="214"/>
      <c r="B15" s="214"/>
      <c r="C15" s="214"/>
    </row>
    <row r="16" spans="1:13" ht="15" customHeight="1" x14ac:dyDescent="0.2">
      <c r="A16" s="214"/>
      <c r="B16" s="214"/>
      <c r="C16" s="214"/>
      <c r="E16" s="163"/>
      <c r="F16" s="236" t="s">
        <v>1</v>
      </c>
      <c r="G16" s="237" t="s">
        <v>2</v>
      </c>
      <c r="H16" s="237" t="s">
        <v>3</v>
      </c>
      <c r="I16" s="215" t="s">
        <v>4</v>
      </c>
      <c r="J16" s="215" t="s">
        <v>5</v>
      </c>
      <c r="K16" s="25"/>
    </row>
    <row r="17" spans="1:19" ht="15" customHeight="1" x14ac:dyDescent="0.2">
      <c r="E17" s="163"/>
      <c r="F17" s="236"/>
      <c r="G17" s="237"/>
      <c r="H17" s="237"/>
      <c r="I17" s="215"/>
      <c r="J17" s="215"/>
      <c r="K17" s="25"/>
    </row>
    <row r="18" spans="1:19" ht="15" customHeight="1" thickBot="1" x14ac:dyDescent="0.25">
      <c r="A18" s="214" t="s">
        <v>6</v>
      </c>
      <c r="B18" s="214"/>
      <c r="C18" s="214"/>
      <c r="F18" s="2"/>
      <c r="G18" s="1"/>
      <c r="K18" s="25"/>
    </row>
    <row r="19" spans="1:19" ht="15" customHeight="1" x14ac:dyDescent="0.2">
      <c r="A19" s="214"/>
      <c r="B19" s="214"/>
      <c r="C19" s="214"/>
      <c r="E19" s="96" t="s">
        <v>54</v>
      </c>
      <c r="F19" s="85"/>
      <c r="G19" s="85"/>
      <c r="H19" s="85"/>
      <c r="I19" s="85"/>
      <c r="J19" s="86"/>
      <c r="K19" s="154"/>
      <c r="L19" s="155"/>
      <c r="M19" s="155"/>
      <c r="N19" s="155"/>
      <c r="O19" s="155"/>
      <c r="P19" s="62"/>
    </row>
    <row r="20" spans="1:19" ht="15" customHeight="1" thickBot="1" x14ac:dyDescent="0.25">
      <c r="A20" s="214"/>
      <c r="B20" s="214"/>
      <c r="C20" s="214"/>
      <c r="D20" s="68"/>
      <c r="E20" s="80" t="s">
        <v>8</v>
      </c>
      <c r="F20" s="35" t="str">
        <f>IF(AND('Results GM 1040'!C11&gt;900,'Results GM 1040'!C11&lt;5990),'Results GM 1040'!C11,"NA")</f>
        <v>NA</v>
      </c>
      <c r="G20" s="35" t="str">
        <f>IF(AND('Results GM 1050'!C11&gt;900,'Results GM 1050'!C11&lt;5990),'Results GM 1050'!C11,"NA")</f>
        <v>NA</v>
      </c>
      <c r="H20" s="35" t="str">
        <f>IF(AND('Results GM 1060'!C11&gt;900,'Results GM 1060'!C11&lt;5990),'Results GM 1060'!C11,"NA")</f>
        <v>NA</v>
      </c>
      <c r="I20" s="35">
        <f>IF(AND('Results GM 1070'!C11&gt;900,'Results GM 1070'!C11&lt;5990),'Results GM 1070'!C11,"NA")</f>
        <v>1570.5906604647312</v>
      </c>
      <c r="J20" s="36">
        <f>IF(AND('Results GM 1075'!C11&gt;850,'Results GM 1075'!C11&lt;5990),'Results GM 1075'!C11,"NA")</f>
        <v>3500.7854485028492</v>
      </c>
      <c r="K20" s="156"/>
      <c r="L20" s="153" t="s">
        <v>7</v>
      </c>
      <c r="M20" s="157"/>
      <c r="N20" s="157"/>
      <c r="O20" s="157"/>
      <c r="P20" s="62"/>
    </row>
    <row r="21" spans="1:19" ht="15" customHeight="1" thickTop="1" x14ac:dyDescent="0.2">
      <c r="E21" s="64"/>
      <c r="F21" s="65"/>
      <c r="G21" s="66"/>
      <c r="H21" s="66"/>
      <c r="I21" s="66"/>
      <c r="J21" s="67"/>
      <c r="K21" s="62"/>
      <c r="L21" s="62"/>
      <c r="M21" s="62"/>
      <c r="N21" s="62"/>
      <c r="O21" s="62"/>
      <c r="P21" s="62"/>
    </row>
    <row r="22" spans="1:19" ht="15" customHeight="1" x14ac:dyDescent="0.2">
      <c r="A22" s="214" t="s">
        <v>9</v>
      </c>
      <c r="B22" s="214"/>
      <c r="C22" s="214"/>
      <c r="E22" s="97" t="s">
        <v>156</v>
      </c>
      <c r="F22" s="31"/>
      <c r="G22" s="33"/>
      <c r="H22" s="33"/>
      <c r="I22" s="33"/>
      <c r="J22" s="34"/>
      <c r="K22" s="62"/>
      <c r="L22" s="62"/>
      <c r="M22" s="62"/>
      <c r="N22" s="62"/>
      <c r="O22" s="62"/>
      <c r="P22" s="62"/>
    </row>
    <row r="23" spans="1:19" ht="15" customHeight="1" x14ac:dyDescent="0.2">
      <c r="A23" s="214"/>
      <c r="B23" s="214"/>
      <c r="C23" s="214"/>
      <c r="E23" s="82" t="s">
        <v>61</v>
      </c>
      <c r="F23" s="91">
        <v>20</v>
      </c>
      <c r="G23" s="38">
        <v>25</v>
      </c>
      <c r="H23" s="38">
        <v>30</v>
      </c>
      <c r="I23" s="38">
        <v>50</v>
      </c>
      <c r="J23" s="39">
        <v>50</v>
      </c>
      <c r="K23" s="62"/>
      <c r="L23" s="219" t="s">
        <v>71</v>
      </c>
      <c r="M23" s="219"/>
      <c r="N23" s="219"/>
      <c r="O23" s="219"/>
      <c r="P23" s="145"/>
    </row>
    <row r="24" spans="1:19" ht="15" customHeight="1" thickBot="1" x14ac:dyDescent="0.25">
      <c r="A24" s="214"/>
      <c r="B24" s="214"/>
      <c r="C24" s="214"/>
      <c r="D24" s="68"/>
      <c r="E24" s="83" t="s">
        <v>62</v>
      </c>
      <c r="F24" s="40">
        <v>5</v>
      </c>
      <c r="G24" s="41">
        <v>5</v>
      </c>
      <c r="H24" s="41">
        <v>5</v>
      </c>
      <c r="I24" s="41">
        <v>5</v>
      </c>
      <c r="J24" s="42">
        <f>IF(F6&lt;150,5,10)</f>
        <v>5</v>
      </c>
      <c r="K24" s="87"/>
      <c r="L24" s="220"/>
      <c r="M24" s="220"/>
      <c r="N24" s="220"/>
      <c r="O24" s="220"/>
      <c r="P24" s="145"/>
      <c r="S24" s="62"/>
    </row>
    <row r="25" spans="1:19" s="62" customFormat="1" ht="15" customHeight="1" thickTop="1" x14ac:dyDescent="0.2">
      <c r="A25" s="95"/>
      <c r="B25" s="95"/>
      <c r="C25" s="95"/>
      <c r="D25" s="33"/>
      <c r="E25" s="30"/>
      <c r="F25" s="31"/>
      <c r="G25" s="33"/>
      <c r="H25" s="33"/>
      <c r="I25" s="33"/>
      <c r="J25" s="34"/>
      <c r="P25" s="152"/>
    </row>
    <row r="26" spans="1:19" s="62" customFormat="1" ht="15" customHeight="1" x14ac:dyDescent="0.2">
      <c r="A26" s="95"/>
      <c r="B26" s="95"/>
      <c r="C26" s="95"/>
      <c r="D26" s="33"/>
      <c r="E26" s="30"/>
      <c r="F26" s="31"/>
      <c r="G26" s="33"/>
      <c r="H26" s="33"/>
      <c r="I26" s="33"/>
      <c r="J26" s="34"/>
      <c r="L26" s="219" t="s">
        <v>70</v>
      </c>
      <c r="M26" s="219"/>
      <c r="N26" s="219"/>
      <c r="O26" s="219"/>
      <c r="P26" s="145"/>
    </row>
    <row r="27" spans="1:19" ht="15" customHeight="1" x14ac:dyDescent="0.2">
      <c r="E27" s="97" t="s">
        <v>197</v>
      </c>
      <c r="F27" s="174" t="str">
        <f>G8</f>
        <v>MA6 Gen3</v>
      </c>
      <c r="G27" s="175" t="str">
        <f>IF(OR(F27="MJB4",F27="MLA150",F27="MA6 Gen3"),"/ i-line","/ broadband")</f>
        <v>/ i-line</v>
      </c>
      <c r="H27" s="98"/>
      <c r="I27" s="98"/>
      <c r="J27" s="99"/>
      <c r="K27" s="62"/>
      <c r="L27" s="219"/>
      <c r="M27" s="219"/>
      <c r="N27" s="219"/>
      <c r="O27" s="219"/>
      <c r="P27" s="145"/>
    </row>
    <row r="28" spans="1:19" ht="15" customHeight="1" x14ac:dyDescent="0.2">
      <c r="A28" s="214" t="s">
        <v>11</v>
      </c>
      <c r="B28" s="214"/>
      <c r="C28" s="214"/>
      <c r="E28" s="159" t="str">
        <f>IF(OR(F27="MJB4",F27="MABA6",F27="MA6 Gen3"),"Intensity [mW/cm2]","Writehead [mm]")</f>
        <v>Intensity [mW/cm2]</v>
      </c>
      <c r="F28" s="37">
        <v>20</v>
      </c>
      <c r="G28" s="37">
        <v>20</v>
      </c>
      <c r="H28" s="37">
        <v>20</v>
      </c>
      <c r="I28" s="37">
        <v>20</v>
      </c>
      <c r="J28" s="37">
        <v>20</v>
      </c>
      <c r="K28" s="30"/>
      <c r="L28" s="219"/>
      <c r="M28" s="219"/>
      <c r="N28" s="219"/>
      <c r="O28" s="219"/>
      <c r="P28" s="145"/>
    </row>
    <row r="29" spans="1:19" ht="15" customHeight="1" x14ac:dyDescent="0.2">
      <c r="A29" s="214"/>
      <c r="B29" s="214"/>
      <c r="C29" s="214"/>
      <c r="E29" s="81" t="s">
        <v>198</v>
      </c>
      <c r="F29" s="31" t="str">
        <f>IF(OR(F27="MJB4",F27="MLA150",F27="MA6 Gen3"),IF(AND('Results GM 1040'!C11&gt;1000,'Results GM 1040'!C11&lt;5900),'Results GM 1040'!D11,"NA"),IF(AND('Results GM 1040'!C11&gt;1000,'Results GM 1040'!C11&lt;5900),'Results GM 1040'!D12,"NA"))</f>
        <v>NA</v>
      </c>
      <c r="G29" s="31" t="str">
        <f>IF(OR(F27="MJB4",F27="MLA150",F27="MA6 Gen3"),IF(AND('Results GM 1050'!C11&gt;1000,'Results GM 1050'!C11&lt;5900),'Results GM 1050'!D11,"NA"),IF(AND('Results GM 1050'!C11&gt;1000,'Results GM 1050'!C11&lt;5900),'Results GM 1050'!D12,"NA"))</f>
        <v>NA</v>
      </c>
      <c r="H29" s="31" t="str">
        <f>IF(OR(F27="MJB4",F27="MLA150",F27="MA6 Gen3"),IF(AND('Results GM 1060'!C11&gt;1000,'Results GM 1060'!C11&lt;5900),'Results GM 1060'!D11,"NA"),IF(AND('Results GM 1060'!C11&gt;1000,'Results GM 1060'!C11&lt;5900),'Results GM 1060'!D12,"NA"))</f>
        <v>NA</v>
      </c>
      <c r="I29" s="31">
        <f>IF(OR(F27="MJB4",F27="MLA150",F27="MA6 Gen3"),IF(AND('Results GM 1070'!C11&gt;1000,'Results GM 1070'!C11&lt;5900),'Results GM 1070'!D11,"NA"),IF(AND('Results GM 1070'!C11&gt;1000,'Results GM 1070'!C11&lt;5900),'Results GM 1070'!D12,"NA"))</f>
        <v>372.01800000000003</v>
      </c>
      <c r="J29" s="32">
        <f>IF(OR(F27="MJB4",F27="MLA150",F27="MA6 Gen3"),IF(AND('Results GM 1075'!C11&gt;1000,'Results GM 1075'!C11&lt;5900),'Results GM 1075'!D11,"NA"),IF(AND('Results GM 1075'!C11&gt;1000,'Results GM 1075'!C11&lt;5900),'Results GM 1075'!D12,"NA"))</f>
        <v>372.01800000000003</v>
      </c>
      <c r="K29" s="62"/>
      <c r="L29" s="219"/>
      <c r="M29" s="219"/>
      <c r="N29" s="219"/>
      <c r="O29" s="219"/>
      <c r="P29" s="145"/>
    </row>
    <row r="30" spans="1:19" ht="15" customHeight="1" thickBot="1" x14ac:dyDescent="0.25">
      <c r="A30" s="214"/>
      <c r="B30" s="214"/>
      <c r="C30" s="214"/>
      <c r="D30" s="68"/>
      <c r="E30" s="83"/>
      <c r="F30" s="160"/>
      <c r="G30" s="44"/>
      <c r="H30" s="44"/>
      <c r="I30" s="44"/>
      <c r="J30" s="44"/>
      <c r="K30" s="87"/>
      <c r="L30" s="220"/>
      <c r="M30" s="220"/>
      <c r="N30" s="220"/>
      <c r="O30" s="220"/>
      <c r="P30" s="145"/>
    </row>
    <row r="31" spans="1:19" ht="15" customHeight="1" thickTop="1" x14ac:dyDescent="0.2">
      <c r="E31" s="64"/>
      <c r="F31" s="31"/>
      <c r="G31" s="33"/>
      <c r="H31" s="33"/>
      <c r="I31" s="33"/>
      <c r="J31" s="34"/>
      <c r="K31" s="62"/>
      <c r="L31" s="62"/>
      <c r="M31" s="62"/>
      <c r="N31" s="62"/>
      <c r="O31" s="62"/>
      <c r="P31" s="152"/>
      <c r="R31" s="152"/>
    </row>
    <row r="32" spans="1:19" ht="15" customHeight="1" x14ac:dyDescent="0.2">
      <c r="A32" s="214" t="s">
        <v>13</v>
      </c>
      <c r="B32" s="214"/>
      <c r="C32" s="214"/>
      <c r="E32" s="97" t="s">
        <v>157</v>
      </c>
      <c r="F32" s="31"/>
      <c r="G32" s="33"/>
      <c r="H32" s="33"/>
      <c r="I32" s="33"/>
      <c r="J32" s="34"/>
      <c r="K32" s="62"/>
      <c r="L32" s="219" t="s">
        <v>99</v>
      </c>
      <c r="M32" s="219"/>
      <c r="N32" s="219"/>
      <c r="O32" s="219"/>
      <c r="P32" s="145"/>
      <c r="R32" s="152"/>
    </row>
    <row r="33" spans="1:18" ht="15" customHeight="1" x14ac:dyDescent="0.2">
      <c r="A33" s="214"/>
      <c r="B33" s="214"/>
      <c r="C33" s="214"/>
      <c r="E33" s="82" t="s">
        <v>61</v>
      </c>
      <c r="F33" s="91">
        <v>20</v>
      </c>
      <c r="G33" s="38">
        <v>20</v>
      </c>
      <c r="H33" s="38">
        <v>30</v>
      </c>
      <c r="I33" s="38">
        <v>40</v>
      </c>
      <c r="J33" s="39">
        <v>50</v>
      </c>
      <c r="K33" s="62"/>
      <c r="L33" s="219"/>
      <c r="M33" s="219"/>
      <c r="N33" s="219"/>
      <c r="O33" s="219"/>
      <c r="P33" s="145"/>
      <c r="R33" s="152"/>
    </row>
    <row r="34" spans="1:18" ht="15" customHeight="1" thickBot="1" x14ac:dyDescent="0.25">
      <c r="A34" s="214"/>
      <c r="B34" s="214"/>
      <c r="C34" s="214"/>
      <c r="D34" s="68"/>
      <c r="E34" s="83" t="s">
        <v>62</v>
      </c>
      <c r="F34" s="92">
        <v>15</v>
      </c>
      <c r="G34" s="41">
        <v>20</v>
      </c>
      <c r="H34" s="41">
        <v>30</v>
      </c>
      <c r="I34" s="41">
        <v>40</v>
      </c>
      <c r="J34" s="42">
        <v>60</v>
      </c>
      <c r="K34" s="142"/>
      <c r="L34" s="220"/>
      <c r="M34" s="220"/>
      <c r="N34" s="220"/>
      <c r="O34" s="220"/>
      <c r="P34" s="145"/>
    </row>
    <row r="35" spans="1:18" ht="15" customHeight="1" thickTop="1" x14ac:dyDescent="0.2">
      <c r="E35" s="64"/>
      <c r="F35" s="31"/>
      <c r="G35" s="33"/>
      <c r="H35" s="33"/>
      <c r="I35" s="33"/>
      <c r="J35" s="34"/>
      <c r="K35" s="62"/>
      <c r="L35" s="62"/>
      <c r="M35" s="62"/>
      <c r="N35" s="62"/>
      <c r="O35" s="62"/>
      <c r="P35" s="152"/>
    </row>
    <row r="36" spans="1:18" ht="15" customHeight="1" x14ac:dyDescent="0.2">
      <c r="A36" s="214" t="s">
        <v>14</v>
      </c>
      <c r="B36" s="214"/>
      <c r="C36" s="214"/>
      <c r="E36" s="30"/>
      <c r="F36" s="31"/>
      <c r="G36" s="33"/>
      <c r="H36" s="33"/>
      <c r="I36" s="33"/>
      <c r="J36" s="34"/>
      <c r="K36" s="62"/>
      <c r="L36" s="219" t="s">
        <v>69</v>
      </c>
      <c r="M36" s="219"/>
      <c r="N36" s="219"/>
      <c r="O36" s="219"/>
      <c r="P36" s="145"/>
    </row>
    <row r="37" spans="1:18" ht="15" customHeight="1" x14ac:dyDescent="0.2">
      <c r="A37" s="214"/>
      <c r="B37" s="214"/>
      <c r="C37" s="214"/>
      <c r="E37" s="97" t="s">
        <v>158</v>
      </c>
      <c r="F37" s="93"/>
      <c r="G37" s="68"/>
      <c r="H37" s="68"/>
      <c r="I37" s="68"/>
      <c r="J37" s="94"/>
      <c r="K37" s="62"/>
      <c r="L37" s="219"/>
      <c r="M37" s="219"/>
      <c r="N37" s="219"/>
      <c r="O37" s="219"/>
      <c r="P37" s="145"/>
    </row>
    <row r="38" spans="1:18" ht="15" customHeight="1" thickBot="1" x14ac:dyDescent="0.25">
      <c r="A38" s="214"/>
      <c r="B38" s="214"/>
      <c r="C38" s="214"/>
      <c r="D38" s="68"/>
      <c r="E38" s="83" t="s">
        <v>159</v>
      </c>
      <c r="F38" s="40" t="s">
        <v>231</v>
      </c>
      <c r="G38" s="40" t="s">
        <v>232</v>
      </c>
      <c r="H38" s="40" t="s">
        <v>233</v>
      </c>
      <c r="I38" s="40" t="s">
        <v>234</v>
      </c>
      <c r="J38" s="46" t="s">
        <v>235</v>
      </c>
      <c r="K38" s="142"/>
      <c r="L38" s="220"/>
      <c r="M38" s="220"/>
      <c r="N38" s="220"/>
      <c r="O38" s="220"/>
      <c r="P38" s="145"/>
    </row>
    <row r="39" spans="1:18" ht="15" customHeight="1" thickTop="1" x14ac:dyDescent="0.2">
      <c r="E39" s="64"/>
      <c r="F39" s="31"/>
      <c r="G39" s="33"/>
      <c r="H39" s="33"/>
      <c r="I39" s="33"/>
      <c r="J39" s="34"/>
      <c r="K39" s="62"/>
      <c r="L39" s="62"/>
      <c r="M39" s="62"/>
      <c r="N39" s="62"/>
      <c r="O39" s="62"/>
      <c r="P39" s="18"/>
      <c r="Q39" s="101"/>
    </row>
    <row r="40" spans="1:18" ht="15" customHeight="1" x14ac:dyDescent="0.2">
      <c r="A40" s="227" t="s">
        <v>15</v>
      </c>
      <c r="B40" s="228"/>
      <c r="C40" s="229"/>
      <c r="E40" s="30"/>
      <c r="F40" s="31"/>
      <c r="G40" s="33"/>
      <c r="H40" s="33"/>
      <c r="I40" s="33"/>
      <c r="J40" s="34"/>
      <c r="K40" s="62"/>
      <c r="L40" s="62"/>
      <c r="M40" s="62"/>
      <c r="N40" s="62"/>
      <c r="O40" s="62"/>
      <c r="P40" s="62"/>
    </row>
    <row r="41" spans="1:18" ht="15" customHeight="1" x14ac:dyDescent="0.25">
      <c r="A41" s="230"/>
      <c r="B41" s="231"/>
      <c r="C41" s="232"/>
      <c r="E41" s="158" t="s">
        <v>160</v>
      </c>
      <c r="F41" s="31"/>
      <c r="G41" s="33"/>
      <c r="H41" s="33"/>
      <c r="I41" s="33"/>
      <c r="J41" s="34"/>
      <c r="K41" s="62"/>
      <c r="L41" s="62"/>
      <c r="M41" s="62"/>
      <c r="N41" s="62"/>
      <c r="O41" s="62"/>
      <c r="P41" s="62"/>
    </row>
    <row r="42" spans="1:18" ht="15" customHeight="1" thickBot="1" x14ac:dyDescent="0.25">
      <c r="A42" s="233"/>
      <c r="B42" s="234"/>
      <c r="C42" s="235"/>
      <c r="D42" s="68"/>
      <c r="E42" s="135" t="s">
        <v>161</v>
      </c>
      <c r="F42" s="132">
        <v>2</v>
      </c>
      <c r="G42" s="133">
        <v>2</v>
      </c>
      <c r="H42" s="133">
        <v>2</v>
      </c>
      <c r="I42" s="133">
        <v>2</v>
      </c>
      <c r="J42" s="134">
        <v>2</v>
      </c>
      <c r="K42" s="161"/>
      <c r="L42" s="162" t="s">
        <v>162</v>
      </c>
      <c r="M42" s="162"/>
      <c r="N42" s="162"/>
      <c r="O42" s="162"/>
      <c r="P42" s="62"/>
    </row>
    <row r="44" spans="1:18" s="47" customFormat="1" x14ac:dyDescent="0.2">
      <c r="C44" s="111"/>
      <c r="D44" s="60"/>
      <c r="E44" s="124" t="s">
        <v>98</v>
      </c>
      <c r="F44" s="113"/>
      <c r="G44" s="113"/>
      <c r="H44" s="113"/>
      <c r="I44" s="113"/>
      <c r="J44" s="113"/>
      <c r="K44" s="113"/>
      <c r="L44" s="111"/>
      <c r="M44" s="111"/>
      <c r="N44" s="111"/>
      <c r="O44" s="111"/>
      <c r="P44" s="111"/>
    </row>
    <row r="45" spans="1:18" s="47" customFormat="1" x14ac:dyDescent="0.2">
      <c r="C45" s="111"/>
      <c r="D45" s="60"/>
      <c r="E45" s="113"/>
      <c r="F45" s="113"/>
      <c r="G45" s="113"/>
      <c r="H45" s="113"/>
      <c r="I45" s="113"/>
      <c r="J45" s="113"/>
      <c r="K45" s="113"/>
      <c r="L45" s="111"/>
      <c r="M45" s="111"/>
      <c r="N45" s="111"/>
      <c r="O45" s="111"/>
      <c r="P45" s="111"/>
    </row>
    <row r="46" spans="1:18" x14ac:dyDescent="0.2">
      <c r="C46" s="101"/>
      <c r="D46" s="112"/>
      <c r="E46" s="113"/>
      <c r="F46" s="113"/>
      <c r="G46" s="113"/>
      <c r="H46" s="113"/>
      <c r="I46" s="113"/>
      <c r="J46" s="113"/>
      <c r="K46" s="113"/>
      <c r="L46" s="101"/>
      <c r="M46" s="101"/>
      <c r="N46" s="101"/>
      <c r="O46" s="101"/>
      <c r="P46" s="101"/>
    </row>
    <row r="47" spans="1:18" x14ac:dyDescent="0.2">
      <c r="C47" s="101"/>
      <c r="D47" s="112"/>
      <c r="E47" s="101"/>
      <c r="F47" s="101"/>
      <c r="G47" s="114"/>
      <c r="H47" s="112"/>
      <c r="I47" s="112"/>
      <c r="J47" s="112"/>
      <c r="K47" s="112"/>
      <c r="L47" s="101"/>
      <c r="M47" s="101"/>
      <c r="N47" s="101"/>
      <c r="O47" s="101"/>
      <c r="P47" s="101"/>
    </row>
    <row r="48" spans="1:18" x14ac:dyDescent="0.2">
      <c r="C48" s="101"/>
      <c r="D48" s="112"/>
      <c r="E48" s="101"/>
      <c r="F48" s="101"/>
      <c r="G48" s="114"/>
      <c r="H48" s="112"/>
      <c r="I48" s="112"/>
      <c r="J48" s="112"/>
      <c r="K48" s="112"/>
      <c r="L48" s="101"/>
      <c r="M48" s="101"/>
      <c r="N48" s="101"/>
      <c r="O48" s="101"/>
      <c r="P48" s="101"/>
    </row>
  </sheetData>
  <mergeCells count="18">
    <mergeCell ref="H5:J6"/>
    <mergeCell ref="L23:O24"/>
    <mergeCell ref="L26:O30"/>
    <mergeCell ref="L32:O34"/>
    <mergeCell ref="L36:O38"/>
    <mergeCell ref="H16:H17"/>
    <mergeCell ref="I16:I17"/>
    <mergeCell ref="J16:J17"/>
    <mergeCell ref="L8:M8"/>
    <mergeCell ref="A14:C16"/>
    <mergeCell ref="A18:C20"/>
    <mergeCell ref="A40:C42"/>
    <mergeCell ref="F16:F17"/>
    <mergeCell ref="G16:G17"/>
    <mergeCell ref="A28:C30"/>
    <mergeCell ref="A32:C34"/>
    <mergeCell ref="A36:C38"/>
    <mergeCell ref="A22:C24"/>
  </mergeCells>
  <conditionalFormatting sqref="F29:J29">
    <cfRule type="cellIs" dxfId="10" priority="4" stopIfTrue="1" operator="between">
      <formula>0</formula>
      <formula>10000</formula>
    </cfRule>
  </conditionalFormatting>
  <conditionalFormatting sqref="F20:J20">
    <cfRule type="cellIs" dxfId="9" priority="3" stopIfTrue="1" operator="between">
      <formula>800</formula>
      <formula>5990</formula>
    </cfRule>
  </conditionalFormatting>
  <conditionalFormatting sqref="F30:I30">
    <cfRule type="cellIs" dxfId="8" priority="2" stopIfTrue="1" operator="between">
      <formula>0</formula>
      <formula>10000</formula>
    </cfRule>
  </conditionalFormatting>
  <conditionalFormatting sqref="J30">
    <cfRule type="cellIs" dxfId="7" priority="1" stopIfTrue="1" operator="between">
      <formula>0</formula>
      <formula>10000</formula>
    </cfRule>
  </conditionalFormatting>
  <dataValidations count="1">
    <dataValidation type="list" allowBlank="1" showInputMessage="1" showErrorMessage="1" sqref="G8" xr:uid="{00000000-0002-0000-0200-000000000000}">
      <formula1>Liste_Equipement</formula1>
    </dataValidation>
  </dataValidations>
  <hyperlinks>
    <hyperlink ref="E6" r:id="rId1" xr:uid="{00000000-0004-0000-0200-000000000000}"/>
    <hyperlink ref="F16" location="'Results GM 1040'!A13" display="GM 1040" xr:uid="{00000000-0004-0000-0200-000001000000}"/>
    <hyperlink ref="E44" location="Troubleshoot!A1" display="Troubleshooting guidelines" xr:uid="{00000000-0004-0000-0200-000002000000}"/>
    <hyperlink ref="H2" location="Home!A5" display="Home" xr:uid="{00000000-0004-0000-0200-000003000000}"/>
    <hyperlink ref="E3" r:id="rId2" xr:uid="{00000000-0004-0000-0200-000004000000}"/>
    <hyperlink ref="L20" location="'Spin graph'!A1" display="Velocity profile" xr:uid="{00000000-0004-0000-0200-000005000000}"/>
    <hyperlink ref="G16" location="'Results GM 1050'!A13" display="GM 1050" xr:uid="{00000000-0004-0000-0200-000006000000}"/>
    <hyperlink ref="H16" location="'Results GM 1060'!A13" display="GM 1060" xr:uid="{00000000-0004-0000-0200-000007000000}"/>
    <hyperlink ref="I16" location="'Results GM 1070'!A13" display="GM 1070" xr:uid="{00000000-0004-0000-0200-000008000000}"/>
    <hyperlink ref="J16" location="'Results GM 1075'!A13" display="GM 1075" xr:uid="{00000000-0004-0000-0200-000009000000}"/>
    <hyperlink ref="F16:F17" r:id="rId3" display="GM 1040" xr:uid="{00000000-0004-0000-0200-00000A000000}"/>
    <hyperlink ref="G16:G17" r:id="rId4" display="GM 1050" xr:uid="{00000000-0004-0000-0200-00000B000000}"/>
    <hyperlink ref="H16:H17" r:id="rId5" display="GM 1060" xr:uid="{00000000-0004-0000-0200-00000C000000}"/>
    <hyperlink ref="I16:I17" r:id="rId6" display="GM 1070" xr:uid="{00000000-0004-0000-0200-00000D000000}"/>
    <hyperlink ref="J16:J17" r:id="rId7" display="GM 1075" xr:uid="{00000000-0004-0000-0200-00000E000000}"/>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13" workbookViewId="0"/>
  </sheetViews>
  <sheetFormatPr baseColWidth="10" defaultColWidth="11.42578125" defaultRowHeight="12.75" x14ac:dyDescent="0.2"/>
  <cols>
    <col min="1" max="1" width="6.85546875" style="5" customWidth="1"/>
    <col min="2" max="2" width="15.5703125" style="5" customWidth="1"/>
    <col min="3" max="3" width="24.140625" style="5" customWidth="1"/>
    <col min="4" max="4" width="44.28515625" style="5" customWidth="1"/>
    <col min="5" max="5" width="38.85546875" style="5" customWidth="1"/>
    <col min="6" max="6" width="18.28515625" style="6" customWidth="1"/>
    <col min="7" max="256" width="11.42578125" style="25"/>
    <col min="257" max="257" width="6.85546875" style="25" customWidth="1"/>
    <col min="258" max="258" width="15.5703125" style="25" customWidth="1"/>
    <col min="259" max="259" width="19.140625" style="25" customWidth="1"/>
    <col min="260" max="260" width="44.28515625" style="25" customWidth="1"/>
    <col min="261" max="261" width="32.140625" style="25" customWidth="1"/>
    <col min="262" max="262" width="18.28515625" style="25" customWidth="1"/>
    <col min="263" max="512" width="11.42578125" style="25"/>
    <col min="513" max="513" width="6.85546875" style="25" customWidth="1"/>
    <col min="514" max="514" width="15.5703125" style="25" customWidth="1"/>
    <col min="515" max="515" width="19.140625" style="25" customWidth="1"/>
    <col min="516" max="516" width="44.28515625" style="25" customWidth="1"/>
    <col min="517" max="517" width="32.140625" style="25" customWidth="1"/>
    <col min="518" max="518" width="18.28515625" style="25" customWidth="1"/>
    <col min="519" max="768" width="11.42578125" style="25"/>
    <col min="769" max="769" width="6.85546875" style="25" customWidth="1"/>
    <col min="770" max="770" width="15.5703125" style="25" customWidth="1"/>
    <col min="771" max="771" width="19.140625" style="25" customWidth="1"/>
    <col min="772" max="772" width="44.28515625" style="25" customWidth="1"/>
    <col min="773" max="773" width="32.140625" style="25" customWidth="1"/>
    <col min="774" max="774" width="18.28515625" style="25" customWidth="1"/>
    <col min="775" max="1024" width="11.42578125" style="25"/>
    <col min="1025" max="1025" width="6.85546875" style="25" customWidth="1"/>
    <col min="1026" max="1026" width="15.5703125" style="25" customWidth="1"/>
    <col min="1027" max="1027" width="19.140625" style="25" customWidth="1"/>
    <col min="1028" max="1028" width="44.28515625" style="25" customWidth="1"/>
    <col min="1029" max="1029" width="32.140625" style="25" customWidth="1"/>
    <col min="1030" max="1030" width="18.28515625" style="25" customWidth="1"/>
    <col min="1031" max="1280" width="11.42578125" style="25"/>
    <col min="1281" max="1281" width="6.85546875" style="25" customWidth="1"/>
    <col min="1282" max="1282" width="15.5703125" style="25" customWidth="1"/>
    <col min="1283" max="1283" width="19.140625" style="25" customWidth="1"/>
    <col min="1284" max="1284" width="44.28515625" style="25" customWidth="1"/>
    <col min="1285" max="1285" width="32.140625" style="25" customWidth="1"/>
    <col min="1286" max="1286" width="18.28515625" style="25" customWidth="1"/>
    <col min="1287" max="1536" width="11.42578125" style="25"/>
    <col min="1537" max="1537" width="6.85546875" style="25" customWidth="1"/>
    <col min="1538" max="1538" width="15.5703125" style="25" customWidth="1"/>
    <col min="1539" max="1539" width="19.140625" style="25" customWidth="1"/>
    <col min="1540" max="1540" width="44.28515625" style="25" customWidth="1"/>
    <col min="1541" max="1541" width="32.140625" style="25" customWidth="1"/>
    <col min="1542" max="1542" width="18.28515625" style="25" customWidth="1"/>
    <col min="1543" max="1792" width="11.42578125" style="25"/>
    <col min="1793" max="1793" width="6.85546875" style="25" customWidth="1"/>
    <col min="1794" max="1794" width="15.5703125" style="25" customWidth="1"/>
    <col min="1795" max="1795" width="19.140625" style="25" customWidth="1"/>
    <col min="1796" max="1796" width="44.28515625" style="25" customWidth="1"/>
    <col min="1797" max="1797" width="32.140625" style="25" customWidth="1"/>
    <col min="1798" max="1798" width="18.28515625" style="25" customWidth="1"/>
    <col min="1799" max="2048" width="11.42578125" style="25"/>
    <col min="2049" max="2049" width="6.85546875" style="25" customWidth="1"/>
    <col min="2050" max="2050" width="15.5703125" style="25" customWidth="1"/>
    <col min="2051" max="2051" width="19.140625" style="25" customWidth="1"/>
    <col min="2052" max="2052" width="44.28515625" style="25" customWidth="1"/>
    <col min="2053" max="2053" width="32.140625" style="25" customWidth="1"/>
    <col min="2054" max="2054" width="18.28515625" style="25" customWidth="1"/>
    <col min="2055" max="2304" width="11.42578125" style="25"/>
    <col min="2305" max="2305" width="6.85546875" style="25" customWidth="1"/>
    <col min="2306" max="2306" width="15.5703125" style="25" customWidth="1"/>
    <col min="2307" max="2307" width="19.140625" style="25" customWidth="1"/>
    <col min="2308" max="2308" width="44.28515625" style="25" customWidth="1"/>
    <col min="2309" max="2309" width="32.140625" style="25" customWidth="1"/>
    <col min="2310" max="2310" width="18.28515625" style="25" customWidth="1"/>
    <col min="2311" max="2560" width="11.42578125" style="25"/>
    <col min="2561" max="2561" width="6.85546875" style="25" customWidth="1"/>
    <col min="2562" max="2562" width="15.5703125" style="25" customWidth="1"/>
    <col min="2563" max="2563" width="19.140625" style="25" customWidth="1"/>
    <col min="2564" max="2564" width="44.28515625" style="25" customWidth="1"/>
    <col min="2565" max="2565" width="32.140625" style="25" customWidth="1"/>
    <col min="2566" max="2566" width="18.28515625" style="25" customWidth="1"/>
    <col min="2567" max="2816" width="11.42578125" style="25"/>
    <col min="2817" max="2817" width="6.85546875" style="25" customWidth="1"/>
    <col min="2818" max="2818" width="15.5703125" style="25" customWidth="1"/>
    <col min="2819" max="2819" width="19.140625" style="25" customWidth="1"/>
    <col min="2820" max="2820" width="44.28515625" style="25" customWidth="1"/>
    <col min="2821" max="2821" width="32.140625" style="25" customWidth="1"/>
    <col min="2822" max="2822" width="18.28515625" style="25" customWidth="1"/>
    <col min="2823" max="3072" width="11.42578125" style="25"/>
    <col min="3073" max="3073" width="6.85546875" style="25" customWidth="1"/>
    <col min="3074" max="3074" width="15.5703125" style="25" customWidth="1"/>
    <col min="3075" max="3075" width="19.140625" style="25" customWidth="1"/>
    <col min="3076" max="3076" width="44.28515625" style="25" customWidth="1"/>
    <col min="3077" max="3077" width="32.140625" style="25" customWidth="1"/>
    <col min="3078" max="3078" width="18.28515625" style="25" customWidth="1"/>
    <col min="3079" max="3328" width="11.42578125" style="25"/>
    <col min="3329" max="3329" width="6.85546875" style="25" customWidth="1"/>
    <col min="3330" max="3330" width="15.5703125" style="25" customWidth="1"/>
    <col min="3331" max="3331" width="19.140625" style="25" customWidth="1"/>
    <col min="3332" max="3332" width="44.28515625" style="25" customWidth="1"/>
    <col min="3333" max="3333" width="32.140625" style="25" customWidth="1"/>
    <col min="3334" max="3334" width="18.28515625" style="25" customWidth="1"/>
    <col min="3335" max="3584" width="11.42578125" style="25"/>
    <col min="3585" max="3585" width="6.85546875" style="25" customWidth="1"/>
    <col min="3586" max="3586" width="15.5703125" style="25" customWidth="1"/>
    <col min="3587" max="3587" width="19.140625" style="25" customWidth="1"/>
    <col min="3588" max="3588" width="44.28515625" style="25" customWidth="1"/>
    <col min="3589" max="3589" width="32.140625" style="25" customWidth="1"/>
    <col min="3590" max="3590" width="18.28515625" style="25" customWidth="1"/>
    <col min="3591" max="3840" width="11.42578125" style="25"/>
    <col min="3841" max="3841" width="6.85546875" style="25" customWidth="1"/>
    <col min="3842" max="3842" width="15.5703125" style="25" customWidth="1"/>
    <col min="3843" max="3843" width="19.140625" style="25" customWidth="1"/>
    <col min="3844" max="3844" width="44.28515625" style="25" customWidth="1"/>
    <col min="3845" max="3845" width="32.140625" style="25" customWidth="1"/>
    <col min="3846" max="3846" width="18.28515625" style="25" customWidth="1"/>
    <col min="3847" max="4096" width="11.42578125" style="25"/>
    <col min="4097" max="4097" width="6.85546875" style="25" customWidth="1"/>
    <col min="4098" max="4098" width="15.5703125" style="25" customWidth="1"/>
    <col min="4099" max="4099" width="19.140625" style="25" customWidth="1"/>
    <col min="4100" max="4100" width="44.28515625" style="25" customWidth="1"/>
    <col min="4101" max="4101" width="32.140625" style="25" customWidth="1"/>
    <col min="4102" max="4102" width="18.28515625" style="25" customWidth="1"/>
    <col min="4103" max="4352" width="11.42578125" style="25"/>
    <col min="4353" max="4353" width="6.85546875" style="25" customWidth="1"/>
    <col min="4354" max="4354" width="15.5703125" style="25" customWidth="1"/>
    <col min="4355" max="4355" width="19.140625" style="25" customWidth="1"/>
    <col min="4356" max="4356" width="44.28515625" style="25" customWidth="1"/>
    <col min="4357" max="4357" width="32.140625" style="25" customWidth="1"/>
    <col min="4358" max="4358" width="18.28515625" style="25" customWidth="1"/>
    <col min="4359" max="4608" width="11.42578125" style="25"/>
    <col min="4609" max="4609" width="6.85546875" style="25" customWidth="1"/>
    <col min="4610" max="4610" width="15.5703125" style="25" customWidth="1"/>
    <col min="4611" max="4611" width="19.140625" style="25" customWidth="1"/>
    <col min="4612" max="4612" width="44.28515625" style="25" customWidth="1"/>
    <col min="4613" max="4613" width="32.140625" style="25" customWidth="1"/>
    <col min="4614" max="4614" width="18.28515625" style="25" customWidth="1"/>
    <col min="4615" max="4864" width="11.42578125" style="25"/>
    <col min="4865" max="4865" width="6.85546875" style="25" customWidth="1"/>
    <col min="4866" max="4866" width="15.5703125" style="25" customWidth="1"/>
    <col min="4867" max="4867" width="19.140625" style="25" customWidth="1"/>
    <col min="4868" max="4868" width="44.28515625" style="25" customWidth="1"/>
    <col min="4869" max="4869" width="32.140625" style="25" customWidth="1"/>
    <col min="4870" max="4870" width="18.28515625" style="25" customWidth="1"/>
    <col min="4871" max="5120" width="11.42578125" style="25"/>
    <col min="5121" max="5121" width="6.85546875" style="25" customWidth="1"/>
    <col min="5122" max="5122" width="15.5703125" style="25" customWidth="1"/>
    <col min="5123" max="5123" width="19.140625" style="25" customWidth="1"/>
    <col min="5124" max="5124" width="44.28515625" style="25" customWidth="1"/>
    <col min="5125" max="5125" width="32.140625" style="25" customWidth="1"/>
    <col min="5126" max="5126" width="18.28515625" style="25" customWidth="1"/>
    <col min="5127" max="5376" width="11.42578125" style="25"/>
    <col min="5377" max="5377" width="6.85546875" style="25" customWidth="1"/>
    <col min="5378" max="5378" width="15.5703125" style="25" customWidth="1"/>
    <col min="5379" max="5379" width="19.140625" style="25" customWidth="1"/>
    <col min="5380" max="5380" width="44.28515625" style="25" customWidth="1"/>
    <col min="5381" max="5381" width="32.140625" style="25" customWidth="1"/>
    <col min="5382" max="5382" width="18.28515625" style="25" customWidth="1"/>
    <col min="5383" max="5632" width="11.42578125" style="25"/>
    <col min="5633" max="5633" width="6.85546875" style="25" customWidth="1"/>
    <col min="5634" max="5634" width="15.5703125" style="25" customWidth="1"/>
    <col min="5635" max="5635" width="19.140625" style="25" customWidth="1"/>
    <col min="5636" max="5636" width="44.28515625" style="25" customWidth="1"/>
    <col min="5637" max="5637" width="32.140625" style="25" customWidth="1"/>
    <col min="5638" max="5638" width="18.28515625" style="25" customWidth="1"/>
    <col min="5639" max="5888" width="11.42578125" style="25"/>
    <col min="5889" max="5889" width="6.85546875" style="25" customWidth="1"/>
    <col min="5890" max="5890" width="15.5703125" style="25" customWidth="1"/>
    <col min="5891" max="5891" width="19.140625" style="25" customWidth="1"/>
    <col min="5892" max="5892" width="44.28515625" style="25" customWidth="1"/>
    <col min="5893" max="5893" width="32.140625" style="25" customWidth="1"/>
    <col min="5894" max="5894" width="18.28515625" style="25" customWidth="1"/>
    <col min="5895" max="6144" width="11.42578125" style="25"/>
    <col min="6145" max="6145" width="6.85546875" style="25" customWidth="1"/>
    <col min="6146" max="6146" width="15.5703125" style="25" customWidth="1"/>
    <col min="6147" max="6147" width="19.140625" style="25" customWidth="1"/>
    <col min="6148" max="6148" width="44.28515625" style="25" customWidth="1"/>
    <col min="6149" max="6149" width="32.140625" style="25" customWidth="1"/>
    <col min="6150" max="6150" width="18.28515625" style="25" customWidth="1"/>
    <col min="6151" max="6400" width="11.42578125" style="25"/>
    <col min="6401" max="6401" width="6.85546875" style="25" customWidth="1"/>
    <col min="6402" max="6402" width="15.5703125" style="25" customWidth="1"/>
    <col min="6403" max="6403" width="19.140625" style="25" customWidth="1"/>
    <col min="6404" max="6404" width="44.28515625" style="25" customWidth="1"/>
    <col min="6405" max="6405" width="32.140625" style="25" customWidth="1"/>
    <col min="6406" max="6406" width="18.28515625" style="25" customWidth="1"/>
    <col min="6407" max="6656" width="11.42578125" style="25"/>
    <col min="6657" max="6657" width="6.85546875" style="25" customWidth="1"/>
    <col min="6658" max="6658" width="15.5703125" style="25" customWidth="1"/>
    <col min="6659" max="6659" width="19.140625" style="25" customWidth="1"/>
    <col min="6660" max="6660" width="44.28515625" style="25" customWidth="1"/>
    <col min="6661" max="6661" width="32.140625" style="25" customWidth="1"/>
    <col min="6662" max="6662" width="18.28515625" style="25" customWidth="1"/>
    <col min="6663" max="6912" width="11.42578125" style="25"/>
    <col min="6913" max="6913" width="6.85546875" style="25" customWidth="1"/>
    <col min="6914" max="6914" width="15.5703125" style="25" customWidth="1"/>
    <col min="6915" max="6915" width="19.140625" style="25" customWidth="1"/>
    <col min="6916" max="6916" width="44.28515625" style="25" customWidth="1"/>
    <col min="6917" max="6917" width="32.140625" style="25" customWidth="1"/>
    <col min="6918" max="6918" width="18.28515625" style="25" customWidth="1"/>
    <col min="6919" max="7168" width="11.42578125" style="25"/>
    <col min="7169" max="7169" width="6.85546875" style="25" customWidth="1"/>
    <col min="7170" max="7170" width="15.5703125" style="25" customWidth="1"/>
    <col min="7171" max="7171" width="19.140625" style="25" customWidth="1"/>
    <col min="7172" max="7172" width="44.28515625" style="25" customWidth="1"/>
    <col min="7173" max="7173" width="32.140625" style="25" customWidth="1"/>
    <col min="7174" max="7174" width="18.28515625" style="25" customWidth="1"/>
    <col min="7175" max="7424" width="11.42578125" style="25"/>
    <col min="7425" max="7425" width="6.85546875" style="25" customWidth="1"/>
    <col min="7426" max="7426" width="15.5703125" style="25" customWidth="1"/>
    <col min="7427" max="7427" width="19.140625" style="25" customWidth="1"/>
    <col min="7428" max="7428" width="44.28515625" style="25" customWidth="1"/>
    <col min="7429" max="7429" width="32.140625" style="25" customWidth="1"/>
    <col min="7430" max="7430" width="18.28515625" style="25" customWidth="1"/>
    <col min="7431" max="7680" width="11.42578125" style="25"/>
    <col min="7681" max="7681" width="6.85546875" style="25" customWidth="1"/>
    <col min="7682" max="7682" width="15.5703125" style="25" customWidth="1"/>
    <col min="7683" max="7683" width="19.140625" style="25" customWidth="1"/>
    <col min="7684" max="7684" width="44.28515625" style="25" customWidth="1"/>
    <col min="7685" max="7685" width="32.140625" style="25" customWidth="1"/>
    <col min="7686" max="7686" width="18.28515625" style="25" customWidth="1"/>
    <col min="7687" max="7936" width="11.42578125" style="25"/>
    <col min="7937" max="7937" width="6.85546875" style="25" customWidth="1"/>
    <col min="7938" max="7938" width="15.5703125" style="25" customWidth="1"/>
    <col min="7939" max="7939" width="19.140625" style="25" customWidth="1"/>
    <col min="7940" max="7940" width="44.28515625" style="25" customWidth="1"/>
    <col min="7941" max="7941" width="32.140625" style="25" customWidth="1"/>
    <col min="7942" max="7942" width="18.28515625" style="25" customWidth="1"/>
    <col min="7943" max="8192" width="11.42578125" style="25"/>
    <col min="8193" max="8193" width="6.85546875" style="25" customWidth="1"/>
    <col min="8194" max="8194" width="15.5703125" style="25" customWidth="1"/>
    <col min="8195" max="8195" width="19.140625" style="25" customWidth="1"/>
    <col min="8196" max="8196" width="44.28515625" style="25" customWidth="1"/>
    <col min="8197" max="8197" width="32.140625" style="25" customWidth="1"/>
    <col min="8198" max="8198" width="18.28515625" style="25" customWidth="1"/>
    <col min="8199" max="8448" width="11.42578125" style="25"/>
    <col min="8449" max="8449" width="6.85546875" style="25" customWidth="1"/>
    <col min="8450" max="8450" width="15.5703125" style="25" customWidth="1"/>
    <col min="8451" max="8451" width="19.140625" style="25" customWidth="1"/>
    <col min="8452" max="8452" width="44.28515625" style="25" customWidth="1"/>
    <col min="8453" max="8453" width="32.140625" style="25" customWidth="1"/>
    <col min="8454" max="8454" width="18.28515625" style="25" customWidth="1"/>
    <col min="8455" max="8704" width="11.42578125" style="25"/>
    <col min="8705" max="8705" width="6.85546875" style="25" customWidth="1"/>
    <col min="8706" max="8706" width="15.5703125" style="25" customWidth="1"/>
    <col min="8707" max="8707" width="19.140625" style="25" customWidth="1"/>
    <col min="8708" max="8708" width="44.28515625" style="25" customWidth="1"/>
    <col min="8709" max="8709" width="32.140625" style="25" customWidth="1"/>
    <col min="8710" max="8710" width="18.28515625" style="25" customWidth="1"/>
    <col min="8711" max="8960" width="11.42578125" style="25"/>
    <col min="8961" max="8961" width="6.85546875" style="25" customWidth="1"/>
    <col min="8962" max="8962" width="15.5703125" style="25" customWidth="1"/>
    <col min="8963" max="8963" width="19.140625" style="25" customWidth="1"/>
    <col min="8964" max="8964" width="44.28515625" style="25" customWidth="1"/>
    <col min="8965" max="8965" width="32.140625" style="25" customWidth="1"/>
    <col min="8966" max="8966" width="18.28515625" style="25" customWidth="1"/>
    <col min="8967" max="9216" width="11.42578125" style="25"/>
    <col min="9217" max="9217" width="6.85546875" style="25" customWidth="1"/>
    <col min="9218" max="9218" width="15.5703125" style="25" customWidth="1"/>
    <col min="9219" max="9219" width="19.140625" style="25" customWidth="1"/>
    <col min="9220" max="9220" width="44.28515625" style="25" customWidth="1"/>
    <col min="9221" max="9221" width="32.140625" style="25" customWidth="1"/>
    <col min="9222" max="9222" width="18.28515625" style="25" customWidth="1"/>
    <col min="9223" max="9472" width="11.42578125" style="25"/>
    <col min="9473" max="9473" width="6.85546875" style="25" customWidth="1"/>
    <col min="9474" max="9474" width="15.5703125" style="25" customWidth="1"/>
    <col min="9475" max="9475" width="19.140625" style="25" customWidth="1"/>
    <col min="9476" max="9476" width="44.28515625" style="25" customWidth="1"/>
    <col min="9477" max="9477" width="32.140625" style="25" customWidth="1"/>
    <col min="9478" max="9478" width="18.28515625" style="25" customWidth="1"/>
    <col min="9479" max="9728" width="11.42578125" style="25"/>
    <col min="9729" max="9729" width="6.85546875" style="25" customWidth="1"/>
    <col min="9730" max="9730" width="15.5703125" style="25" customWidth="1"/>
    <col min="9731" max="9731" width="19.140625" style="25" customWidth="1"/>
    <col min="9732" max="9732" width="44.28515625" style="25" customWidth="1"/>
    <col min="9733" max="9733" width="32.140625" style="25" customWidth="1"/>
    <col min="9734" max="9734" width="18.28515625" style="25" customWidth="1"/>
    <col min="9735" max="9984" width="11.42578125" style="25"/>
    <col min="9985" max="9985" width="6.85546875" style="25" customWidth="1"/>
    <col min="9986" max="9986" width="15.5703125" style="25" customWidth="1"/>
    <col min="9987" max="9987" width="19.140625" style="25" customWidth="1"/>
    <col min="9988" max="9988" width="44.28515625" style="25" customWidth="1"/>
    <col min="9989" max="9989" width="32.140625" style="25" customWidth="1"/>
    <col min="9990" max="9990" width="18.28515625" style="25" customWidth="1"/>
    <col min="9991" max="10240" width="11.42578125" style="25"/>
    <col min="10241" max="10241" width="6.85546875" style="25" customWidth="1"/>
    <col min="10242" max="10242" width="15.5703125" style="25" customWidth="1"/>
    <col min="10243" max="10243" width="19.140625" style="25" customWidth="1"/>
    <col min="10244" max="10244" width="44.28515625" style="25" customWidth="1"/>
    <col min="10245" max="10245" width="32.140625" style="25" customWidth="1"/>
    <col min="10246" max="10246" width="18.28515625" style="25" customWidth="1"/>
    <col min="10247" max="10496" width="11.42578125" style="25"/>
    <col min="10497" max="10497" width="6.85546875" style="25" customWidth="1"/>
    <col min="10498" max="10498" width="15.5703125" style="25" customWidth="1"/>
    <col min="10499" max="10499" width="19.140625" style="25" customWidth="1"/>
    <col min="10500" max="10500" width="44.28515625" style="25" customWidth="1"/>
    <col min="10501" max="10501" width="32.140625" style="25" customWidth="1"/>
    <col min="10502" max="10502" width="18.28515625" style="25" customWidth="1"/>
    <col min="10503" max="10752" width="11.42578125" style="25"/>
    <col min="10753" max="10753" width="6.85546875" style="25" customWidth="1"/>
    <col min="10754" max="10754" width="15.5703125" style="25" customWidth="1"/>
    <col min="10755" max="10755" width="19.140625" style="25" customWidth="1"/>
    <col min="10756" max="10756" width="44.28515625" style="25" customWidth="1"/>
    <col min="10757" max="10757" width="32.140625" style="25" customWidth="1"/>
    <col min="10758" max="10758" width="18.28515625" style="25" customWidth="1"/>
    <col min="10759" max="11008" width="11.42578125" style="25"/>
    <col min="11009" max="11009" width="6.85546875" style="25" customWidth="1"/>
    <col min="11010" max="11010" width="15.5703125" style="25" customWidth="1"/>
    <col min="11011" max="11011" width="19.140625" style="25" customWidth="1"/>
    <col min="11012" max="11012" width="44.28515625" style="25" customWidth="1"/>
    <col min="11013" max="11013" width="32.140625" style="25" customWidth="1"/>
    <col min="11014" max="11014" width="18.28515625" style="25" customWidth="1"/>
    <col min="11015" max="11264" width="11.42578125" style="25"/>
    <col min="11265" max="11265" width="6.85546875" style="25" customWidth="1"/>
    <col min="11266" max="11266" width="15.5703125" style="25" customWidth="1"/>
    <col min="11267" max="11267" width="19.140625" style="25" customWidth="1"/>
    <col min="11268" max="11268" width="44.28515625" style="25" customWidth="1"/>
    <col min="11269" max="11269" width="32.140625" style="25" customWidth="1"/>
    <col min="11270" max="11270" width="18.28515625" style="25" customWidth="1"/>
    <col min="11271" max="11520" width="11.42578125" style="25"/>
    <col min="11521" max="11521" width="6.85546875" style="25" customWidth="1"/>
    <col min="11522" max="11522" width="15.5703125" style="25" customWidth="1"/>
    <col min="11523" max="11523" width="19.140625" style="25" customWidth="1"/>
    <col min="11524" max="11524" width="44.28515625" style="25" customWidth="1"/>
    <col min="11525" max="11525" width="32.140625" style="25" customWidth="1"/>
    <col min="11526" max="11526" width="18.28515625" style="25" customWidth="1"/>
    <col min="11527" max="11776" width="11.42578125" style="25"/>
    <col min="11777" max="11777" width="6.85546875" style="25" customWidth="1"/>
    <col min="11778" max="11778" width="15.5703125" style="25" customWidth="1"/>
    <col min="11779" max="11779" width="19.140625" style="25" customWidth="1"/>
    <col min="11780" max="11780" width="44.28515625" style="25" customWidth="1"/>
    <col min="11781" max="11781" width="32.140625" style="25" customWidth="1"/>
    <col min="11782" max="11782" width="18.28515625" style="25" customWidth="1"/>
    <col min="11783" max="12032" width="11.42578125" style="25"/>
    <col min="12033" max="12033" width="6.85546875" style="25" customWidth="1"/>
    <col min="12034" max="12034" width="15.5703125" style="25" customWidth="1"/>
    <col min="12035" max="12035" width="19.140625" style="25" customWidth="1"/>
    <col min="12036" max="12036" width="44.28515625" style="25" customWidth="1"/>
    <col min="12037" max="12037" width="32.140625" style="25" customWidth="1"/>
    <col min="12038" max="12038" width="18.28515625" style="25" customWidth="1"/>
    <col min="12039" max="12288" width="11.42578125" style="25"/>
    <col min="12289" max="12289" width="6.85546875" style="25" customWidth="1"/>
    <col min="12290" max="12290" width="15.5703125" style="25" customWidth="1"/>
    <col min="12291" max="12291" width="19.140625" style="25" customWidth="1"/>
    <col min="12292" max="12292" width="44.28515625" style="25" customWidth="1"/>
    <col min="12293" max="12293" width="32.140625" style="25" customWidth="1"/>
    <col min="12294" max="12294" width="18.28515625" style="25" customWidth="1"/>
    <col min="12295" max="12544" width="11.42578125" style="25"/>
    <col min="12545" max="12545" width="6.85546875" style="25" customWidth="1"/>
    <col min="12546" max="12546" width="15.5703125" style="25" customWidth="1"/>
    <col min="12547" max="12547" width="19.140625" style="25" customWidth="1"/>
    <col min="12548" max="12548" width="44.28515625" style="25" customWidth="1"/>
    <col min="12549" max="12549" width="32.140625" style="25" customWidth="1"/>
    <col min="12550" max="12550" width="18.28515625" style="25" customWidth="1"/>
    <col min="12551" max="12800" width="11.42578125" style="25"/>
    <col min="12801" max="12801" width="6.85546875" style="25" customWidth="1"/>
    <col min="12802" max="12802" width="15.5703125" style="25" customWidth="1"/>
    <col min="12803" max="12803" width="19.140625" style="25" customWidth="1"/>
    <col min="12804" max="12804" width="44.28515625" style="25" customWidth="1"/>
    <col min="12805" max="12805" width="32.140625" style="25" customWidth="1"/>
    <col min="12806" max="12806" width="18.28515625" style="25" customWidth="1"/>
    <col min="12807" max="13056" width="11.42578125" style="25"/>
    <col min="13057" max="13057" width="6.85546875" style="25" customWidth="1"/>
    <col min="13058" max="13058" width="15.5703125" style="25" customWidth="1"/>
    <col min="13059" max="13059" width="19.140625" style="25" customWidth="1"/>
    <col min="13060" max="13060" width="44.28515625" style="25" customWidth="1"/>
    <col min="13061" max="13061" width="32.140625" style="25" customWidth="1"/>
    <col min="13062" max="13062" width="18.28515625" style="25" customWidth="1"/>
    <col min="13063" max="13312" width="11.42578125" style="25"/>
    <col min="13313" max="13313" width="6.85546875" style="25" customWidth="1"/>
    <col min="13314" max="13314" width="15.5703125" style="25" customWidth="1"/>
    <col min="13315" max="13315" width="19.140625" style="25" customWidth="1"/>
    <col min="13316" max="13316" width="44.28515625" style="25" customWidth="1"/>
    <col min="13317" max="13317" width="32.140625" style="25" customWidth="1"/>
    <col min="13318" max="13318" width="18.28515625" style="25" customWidth="1"/>
    <col min="13319" max="13568" width="11.42578125" style="25"/>
    <col min="13569" max="13569" width="6.85546875" style="25" customWidth="1"/>
    <col min="13570" max="13570" width="15.5703125" style="25" customWidth="1"/>
    <col min="13571" max="13571" width="19.140625" style="25" customWidth="1"/>
    <col min="13572" max="13572" width="44.28515625" style="25" customWidth="1"/>
    <col min="13573" max="13573" width="32.140625" style="25" customWidth="1"/>
    <col min="13574" max="13574" width="18.28515625" style="25" customWidth="1"/>
    <col min="13575" max="13824" width="11.42578125" style="25"/>
    <col min="13825" max="13825" width="6.85546875" style="25" customWidth="1"/>
    <col min="13826" max="13826" width="15.5703125" style="25" customWidth="1"/>
    <col min="13827" max="13827" width="19.140625" style="25" customWidth="1"/>
    <col min="13828" max="13828" width="44.28515625" style="25" customWidth="1"/>
    <col min="13829" max="13829" width="32.140625" style="25" customWidth="1"/>
    <col min="13830" max="13830" width="18.28515625" style="25" customWidth="1"/>
    <col min="13831" max="14080" width="11.42578125" style="25"/>
    <col min="14081" max="14081" width="6.85546875" style="25" customWidth="1"/>
    <col min="14082" max="14082" width="15.5703125" style="25" customWidth="1"/>
    <col min="14083" max="14083" width="19.140625" style="25" customWidth="1"/>
    <col min="14084" max="14084" width="44.28515625" style="25" customWidth="1"/>
    <col min="14085" max="14085" width="32.140625" style="25" customWidth="1"/>
    <col min="14086" max="14086" width="18.28515625" style="25" customWidth="1"/>
    <col min="14087" max="14336" width="11.42578125" style="25"/>
    <col min="14337" max="14337" width="6.85546875" style="25" customWidth="1"/>
    <col min="14338" max="14338" width="15.5703125" style="25" customWidth="1"/>
    <col min="14339" max="14339" width="19.140625" style="25" customWidth="1"/>
    <col min="14340" max="14340" width="44.28515625" style="25" customWidth="1"/>
    <col min="14341" max="14341" width="32.140625" style="25" customWidth="1"/>
    <col min="14342" max="14342" width="18.28515625" style="25" customWidth="1"/>
    <col min="14343" max="14592" width="11.42578125" style="25"/>
    <col min="14593" max="14593" width="6.85546875" style="25" customWidth="1"/>
    <col min="14594" max="14594" width="15.5703125" style="25" customWidth="1"/>
    <col min="14595" max="14595" width="19.140625" style="25" customWidth="1"/>
    <col min="14596" max="14596" width="44.28515625" style="25" customWidth="1"/>
    <col min="14597" max="14597" width="32.140625" style="25" customWidth="1"/>
    <col min="14598" max="14598" width="18.28515625" style="25" customWidth="1"/>
    <col min="14599" max="14848" width="11.42578125" style="25"/>
    <col min="14849" max="14849" width="6.85546875" style="25" customWidth="1"/>
    <col min="14850" max="14850" width="15.5703125" style="25" customWidth="1"/>
    <col min="14851" max="14851" width="19.140625" style="25" customWidth="1"/>
    <col min="14852" max="14852" width="44.28515625" style="25" customWidth="1"/>
    <col min="14853" max="14853" width="32.140625" style="25" customWidth="1"/>
    <col min="14854" max="14854" width="18.28515625" style="25" customWidth="1"/>
    <col min="14855" max="15104" width="11.42578125" style="25"/>
    <col min="15105" max="15105" width="6.85546875" style="25" customWidth="1"/>
    <col min="15106" max="15106" width="15.5703125" style="25" customWidth="1"/>
    <col min="15107" max="15107" width="19.140625" style="25" customWidth="1"/>
    <col min="15108" max="15108" width="44.28515625" style="25" customWidth="1"/>
    <col min="15109" max="15109" width="32.140625" style="25" customWidth="1"/>
    <col min="15110" max="15110" width="18.28515625" style="25" customWidth="1"/>
    <col min="15111" max="15360" width="11.42578125" style="25"/>
    <col min="15361" max="15361" width="6.85546875" style="25" customWidth="1"/>
    <col min="15362" max="15362" width="15.5703125" style="25" customWidth="1"/>
    <col min="15363" max="15363" width="19.140625" style="25" customWidth="1"/>
    <col min="15364" max="15364" width="44.28515625" style="25" customWidth="1"/>
    <col min="15365" max="15365" width="32.140625" style="25" customWidth="1"/>
    <col min="15366" max="15366" width="18.28515625" style="25" customWidth="1"/>
    <col min="15367" max="15616" width="11.42578125" style="25"/>
    <col min="15617" max="15617" width="6.85546875" style="25" customWidth="1"/>
    <col min="15618" max="15618" width="15.5703125" style="25" customWidth="1"/>
    <col min="15619" max="15619" width="19.140625" style="25" customWidth="1"/>
    <col min="15620" max="15620" width="44.28515625" style="25" customWidth="1"/>
    <col min="15621" max="15621" width="32.140625" style="25" customWidth="1"/>
    <col min="15622" max="15622" width="18.28515625" style="25" customWidth="1"/>
    <col min="15623" max="15872" width="11.42578125" style="25"/>
    <col min="15873" max="15873" width="6.85546875" style="25" customWidth="1"/>
    <col min="15874" max="15874" width="15.5703125" style="25" customWidth="1"/>
    <col min="15875" max="15875" width="19.140625" style="25" customWidth="1"/>
    <col min="15876" max="15876" width="44.28515625" style="25" customWidth="1"/>
    <col min="15877" max="15877" width="32.140625" style="25" customWidth="1"/>
    <col min="15878" max="15878" width="18.28515625" style="25" customWidth="1"/>
    <col min="15879" max="16128" width="11.42578125" style="25"/>
    <col min="16129" max="16129" width="6.85546875" style="25" customWidth="1"/>
    <col min="16130" max="16130" width="15.5703125" style="25" customWidth="1"/>
    <col min="16131" max="16131" width="19.140625" style="25" customWidth="1"/>
    <col min="16132" max="16132" width="44.28515625" style="25" customWidth="1"/>
    <col min="16133" max="16133" width="32.140625" style="25" customWidth="1"/>
    <col min="16134" max="16134" width="18.28515625" style="25" customWidth="1"/>
    <col min="16135" max="16384" width="11.42578125" style="25"/>
  </cols>
  <sheetData>
    <row r="1" spans="1:8" x14ac:dyDescent="0.2">
      <c r="E1" s="28" t="s">
        <v>205</v>
      </c>
    </row>
    <row r="2" spans="1:8" s="62" customFormat="1" x14ac:dyDescent="0.2">
      <c r="A2" s="5"/>
      <c r="B2" s="5"/>
      <c r="C2" s="5"/>
      <c r="D2" s="5"/>
      <c r="E2" s="28"/>
      <c r="F2" s="6"/>
    </row>
    <row r="3" spans="1:8" ht="24" x14ac:dyDescent="0.2">
      <c r="A3" s="7" t="s">
        <v>16</v>
      </c>
      <c r="B3" s="7" t="s">
        <v>17</v>
      </c>
      <c r="C3" s="7" t="s">
        <v>18</v>
      </c>
      <c r="D3" s="7" t="s">
        <v>19</v>
      </c>
      <c r="E3" s="7" t="s">
        <v>20</v>
      </c>
    </row>
    <row r="4" spans="1:8" ht="12.75" customHeight="1" x14ac:dyDescent="0.2">
      <c r="A4" s="8" t="s">
        <v>21</v>
      </c>
      <c r="B4" s="246" t="s">
        <v>22</v>
      </c>
      <c r="C4" s="246"/>
      <c r="D4" s="246"/>
      <c r="E4" s="246"/>
    </row>
    <row r="5" spans="1:8" s="106" customFormat="1" ht="15" customHeight="1" x14ac:dyDescent="0.2">
      <c r="A5" s="10" t="str">
        <f>CONCATENATE(LEFT(A4,3),".1")</f>
        <v>X.1</v>
      </c>
      <c r="B5" s="10" t="s">
        <v>23</v>
      </c>
      <c r="C5" s="104" t="s">
        <v>67</v>
      </c>
      <c r="D5" s="104" t="s">
        <v>68</v>
      </c>
      <c r="E5" s="104" t="s">
        <v>24</v>
      </c>
      <c r="F5" s="105"/>
    </row>
    <row r="6" spans="1:8" ht="122.25" customHeight="1" x14ac:dyDescent="0.2">
      <c r="A6" s="10" t="str">
        <f>CONCATENATE(LEFT(A4,3),".2")</f>
        <v>X.2</v>
      </c>
      <c r="B6" s="10" t="s">
        <v>25</v>
      </c>
      <c r="C6" s="184" t="s">
        <v>208</v>
      </c>
      <c r="D6" s="72" t="s">
        <v>78</v>
      </c>
      <c r="E6" s="11" t="s">
        <v>206</v>
      </c>
    </row>
    <row r="7" spans="1:8" ht="66" customHeight="1" x14ac:dyDescent="0.2">
      <c r="A7" s="10" t="str">
        <f>CONCATENATE(LEFT(A4,3),".3")</f>
        <v>X.3</v>
      </c>
      <c r="B7" s="10" t="s">
        <v>57</v>
      </c>
      <c r="C7" s="10"/>
      <c r="D7" s="12" t="s">
        <v>59</v>
      </c>
      <c r="E7" s="9" t="s">
        <v>79</v>
      </c>
    </row>
    <row r="8" spans="1:8" ht="165.75" customHeight="1" x14ac:dyDescent="0.2">
      <c r="A8" s="10" t="str">
        <f>CONCATENATE(LEFT(A4,3),".4")</f>
        <v>X.4</v>
      </c>
      <c r="B8" s="10" t="s">
        <v>221</v>
      </c>
      <c r="C8" s="10" t="s">
        <v>209</v>
      </c>
      <c r="D8" s="10" t="s">
        <v>63</v>
      </c>
      <c r="E8" s="12" t="s">
        <v>64</v>
      </c>
    </row>
    <row r="9" spans="1:8" ht="131.25" customHeight="1" x14ac:dyDescent="0.2">
      <c r="A9" s="240" t="str">
        <f>CONCATENATE(LEFT(A4,3),".5")</f>
        <v>X.5</v>
      </c>
      <c r="B9" s="240" t="s">
        <v>58</v>
      </c>
      <c r="C9" s="10" t="s">
        <v>222</v>
      </c>
      <c r="D9" s="10" t="s">
        <v>213</v>
      </c>
      <c r="E9" s="10" t="s">
        <v>211</v>
      </c>
      <c r="G9" s="100"/>
      <c r="H9" s="100"/>
    </row>
    <row r="10" spans="1:8" s="62" customFormat="1" ht="105" customHeight="1" x14ac:dyDescent="0.2">
      <c r="A10" s="241"/>
      <c r="B10" s="241"/>
      <c r="C10" s="10" t="s">
        <v>210</v>
      </c>
      <c r="D10" s="10" t="s">
        <v>215</v>
      </c>
      <c r="E10" s="10" t="s">
        <v>212</v>
      </c>
      <c r="F10" s="6"/>
      <c r="G10" s="173"/>
      <c r="H10" s="173"/>
    </row>
    <row r="11" spans="1:8" ht="209.25" customHeight="1" x14ac:dyDescent="0.2">
      <c r="A11" s="240" t="str">
        <f>CONCATENATE(LEFT(A4,3),".6")</f>
        <v>X.6</v>
      </c>
      <c r="B11" s="240" t="s">
        <v>220</v>
      </c>
      <c r="C11" s="10" t="s">
        <v>209</v>
      </c>
      <c r="D11" s="10" t="s">
        <v>104</v>
      </c>
      <c r="E11" s="10" t="s">
        <v>229</v>
      </c>
      <c r="G11" s="116"/>
      <c r="H11" s="10"/>
    </row>
    <row r="12" spans="1:8" s="62" customFormat="1" ht="161.25" customHeight="1" x14ac:dyDescent="0.2">
      <c r="A12" s="241"/>
      <c r="B12" s="241"/>
      <c r="C12" s="10" t="s">
        <v>223</v>
      </c>
      <c r="D12" s="10" t="s">
        <v>72</v>
      </c>
      <c r="E12" s="10" t="s">
        <v>230</v>
      </c>
      <c r="F12" s="6"/>
      <c r="G12" s="116"/>
      <c r="H12" s="10"/>
    </row>
    <row r="13" spans="1:8" s="62" customFormat="1" ht="27.75" customHeight="1" x14ac:dyDescent="0.2">
      <c r="A13" s="10" t="str">
        <f>CONCATENATE(LEFT(A4,3),".7")</f>
        <v>X.7</v>
      </c>
      <c r="B13" s="10" t="s">
        <v>73</v>
      </c>
      <c r="C13" s="10" t="s">
        <v>74</v>
      </c>
      <c r="D13" s="10" t="s">
        <v>75</v>
      </c>
      <c r="E13" s="10"/>
      <c r="F13" s="6"/>
      <c r="G13" s="116"/>
      <c r="H13" s="100"/>
    </row>
    <row r="14" spans="1:8" ht="156.75" customHeight="1" x14ac:dyDescent="0.2">
      <c r="A14" s="10" t="str">
        <f>CONCATENATE(LEFT(A4,3),".8")</f>
        <v>X.8</v>
      </c>
      <c r="B14" s="10" t="s">
        <v>77</v>
      </c>
      <c r="C14" s="10" t="s">
        <v>214</v>
      </c>
      <c r="D14" s="10" t="s">
        <v>29</v>
      </c>
      <c r="E14" s="10" t="s">
        <v>101</v>
      </c>
      <c r="G14" s="116"/>
      <c r="H14" s="100"/>
    </row>
    <row r="15" spans="1:8" ht="33.75" customHeight="1" x14ac:dyDescent="0.2">
      <c r="A15" s="10" t="str">
        <f>CONCATENATE(LEFT(A4,3),".9")</f>
        <v>X.9</v>
      </c>
      <c r="B15" s="10" t="s">
        <v>30</v>
      </c>
      <c r="C15" s="10" t="s">
        <v>214</v>
      </c>
      <c r="D15" s="10" t="s">
        <v>31</v>
      </c>
      <c r="E15" s="10" t="s">
        <v>32</v>
      </c>
      <c r="G15" s="100"/>
      <c r="H15" s="100"/>
    </row>
    <row r="16" spans="1:8" ht="28.5" customHeight="1" x14ac:dyDescent="0.2">
      <c r="A16" s="10" t="str">
        <f>CONCATENATE(LEFT(A4,3),".10")</f>
        <v>X.10</v>
      </c>
      <c r="B16" s="10" t="s">
        <v>33</v>
      </c>
      <c r="C16" s="10" t="s">
        <v>216</v>
      </c>
      <c r="D16" s="10" t="s">
        <v>76</v>
      </c>
      <c r="E16" s="10"/>
    </row>
    <row r="18" spans="1:6" s="62" customFormat="1" x14ac:dyDescent="0.2">
      <c r="A18" s="5"/>
      <c r="B18" s="5"/>
      <c r="C18" s="5"/>
      <c r="D18" s="5"/>
      <c r="E18" s="5"/>
      <c r="F18" s="6"/>
    </row>
    <row r="20" spans="1:6" ht="12.75" customHeight="1" x14ac:dyDescent="0.2">
      <c r="A20" s="248" t="s">
        <v>60</v>
      </c>
      <c r="B20" s="248"/>
      <c r="C20" s="248"/>
      <c r="D20" s="248"/>
    </row>
    <row r="21" spans="1:6" x14ac:dyDescent="0.2">
      <c r="A21" s="13"/>
      <c r="B21" s="13"/>
      <c r="C21" s="26"/>
    </row>
    <row r="22" spans="1:6" ht="12.75" customHeight="1" x14ac:dyDescent="0.2">
      <c r="A22" s="247" t="s">
        <v>35</v>
      </c>
      <c r="B22" s="247"/>
      <c r="C22" s="247"/>
      <c r="D22" s="27"/>
    </row>
    <row r="23" spans="1:6" ht="25.5" x14ac:dyDescent="0.2">
      <c r="A23" s="14" t="s">
        <v>16</v>
      </c>
      <c r="B23" s="14" t="s">
        <v>17</v>
      </c>
      <c r="C23" s="14" t="s">
        <v>18</v>
      </c>
      <c r="D23" s="14" t="s">
        <v>19</v>
      </c>
      <c r="E23" s="14" t="s">
        <v>20</v>
      </c>
    </row>
    <row r="24" spans="1:6" ht="23.25" customHeight="1" x14ac:dyDescent="0.2">
      <c r="A24" s="242" t="str">
        <f>CONCATENATE(LEFT(A4,3),".1")</f>
        <v>X.1</v>
      </c>
      <c r="B24" s="244" t="s">
        <v>23</v>
      </c>
      <c r="C24" s="15" t="s">
        <v>178</v>
      </c>
      <c r="D24" s="15" t="s">
        <v>133</v>
      </c>
      <c r="E24" s="15" t="s">
        <v>37</v>
      </c>
    </row>
    <row r="25" spans="1:6" s="62" customFormat="1" ht="23.25" customHeight="1" x14ac:dyDescent="0.2">
      <c r="A25" s="243"/>
      <c r="B25" s="245"/>
      <c r="C25" s="15" t="s">
        <v>136</v>
      </c>
      <c r="D25" s="15" t="s">
        <v>217</v>
      </c>
      <c r="E25" s="15" t="s">
        <v>37</v>
      </c>
      <c r="F25" s="6"/>
    </row>
    <row r="27" spans="1:6" ht="12.75" customHeight="1" x14ac:dyDescent="0.2">
      <c r="A27" s="247" t="s">
        <v>38</v>
      </c>
      <c r="B27" s="247"/>
      <c r="C27" s="247"/>
      <c r="D27" s="247"/>
    </row>
    <row r="28" spans="1:6" ht="25.5" x14ac:dyDescent="0.2">
      <c r="A28" s="14" t="s">
        <v>16</v>
      </c>
      <c r="B28" s="14" t="s">
        <v>17</v>
      </c>
      <c r="C28" s="14" t="s">
        <v>18</v>
      </c>
      <c r="D28" s="14" t="s">
        <v>19</v>
      </c>
      <c r="E28" s="14" t="s">
        <v>20</v>
      </c>
    </row>
    <row r="29" spans="1:6" ht="30.75" customHeight="1" x14ac:dyDescent="0.2">
      <c r="A29" s="9" t="str">
        <f>CONCATENATE(LEFT(A4,3),".1")</f>
        <v>X.1</v>
      </c>
      <c r="B29" s="9" t="s">
        <v>23</v>
      </c>
      <c r="C29" s="20" t="s">
        <v>218</v>
      </c>
      <c r="D29" s="15" t="s">
        <v>135</v>
      </c>
      <c r="E29" s="20" t="s">
        <v>39</v>
      </c>
    </row>
    <row r="30" spans="1:6" x14ac:dyDescent="0.2">
      <c r="A30" s="19"/>
      <c r="B30" s="16"/>
      <c r="C30" s="17"/>
      <c r="D30" s="18"/>
      <c r="E30" s="18"/>
    </row>
    <row r="31" spans="1:6" ht="12.75" customHeight="1" x14ac:dyDescent="0.2">
      <c r="A31" s="247" t="s">
        <v>40</v>
      </c>
      <c r="B31" s="247"/>
      <c r="C31" s="247"/>
      <c r="D31" s="27"/>
    </row>
    <row r="32" spans="1:6" ht="25.5" x14ac:dyDescent="0.2">
      <c r="A32" s="14" t="s">
        <v>16</v>
      </c>
      <c r="B32" s="14" t="s">
        <v>17</v>
      </c>
      <c r="C32" s="14" t="s">
        <v>18</v>
      </c>
      <c r="D32" s="14" t="s">
        <v>19</v>
      </c>
      <c r="E32" s="14" t="s">
        <v>20</v>
      </c>
    </row>
    <row r="33" spans="1:6" ht="31.5" customHeight="1" x14ac:dyDescent="0.2">
      <c r="A33" s="244" t="str">
        <f>CONCATENATE(LEFT(A4,3),".1")</f>
        <v>X.1</v>
      </c>
      <c r="B33" s="244" t="s">
        <v>23</v>
      </c>
      <c r="C33" s="20" t="s">
        <v>177</v>
      </c>
      <c r="D33" s="20" t="s">
        <v>134</v>
      </c>
      <c r="E33" s="20" t="s">
        <v>41</v>
      </c>
    </row>
    <row r="34" spans="1:6" s="62" customFormat="1" ht="31.5" customHeight="1" x14ac:dyDescent="0.2">
      <c r="A34" s="245"/>
      <c r="B34" s="245"/>
      <c r="C34" s="20" t="s">
        <v>182</v>
      </c>
      <c r="D34" s="20" t="s">
        <v>219</v>
      </c>
      <c r="E34" s="20" t="s">
        <v>41</v>
      </c>
      <c r="F34" s="6"/>
    </row>
  </sheetData>
  <mergeCells count="13">
    <mergeCell ref="A33:A34"/>
    <mergeCell ref="B33:B34"/>
    <mergeCell ref="A11:A12"/>
    <mergeCell ref="B11:B12"/>
    <mergeCell ref="A31:C31"/>
    <mergeCell ref="A27:D27"/>
    <mergeCell ref="A22:C22"/>
    <mergeCell ref="A20:D20"/>
    <mergeCell ref="B9:B10"/>
    <mergeCell ref="A9:A10"/>
    <mergeCell ref="A24:A25"/>
    <mergeCell ref="B24:B25"/>
    <mergeCell ref="B4:E4"/>
  </mergeCells>
  <hyperlinks>
    <hyperlink ref="E1" location="'Gersteltec GM Summary'!A1" display="Back to Gersteltec GM Summary"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6"/>
  <sheetViews>
    <sheetView tabSelected="1" topLeftCell="A4" zoomScaleNormal="100" workbookViewId="0">
      <selection activeCell="F7" sqref="F7"/>
    </sheetView>
  </sheetViews>
  <sheetFormatPr baseColWidth="10" defaultColWidth="11.5703125" defaultRowHeight="12.75" x14ac:dyDescent="0.2"/>
  <cols>
    <col min="1" max="3" width="11.5703125" style="62"/>
    <col min="4" max="4" width="5.7109375" style="1" customWidth="1"/>
    <col min="5" max="5" width="24.28515625" style="62" customWidth="1"/>
    <col min="6" max="6" width="12.85546875" style="62" customWidth="1"/>
    <col min="7" max="7" width="12.85546875" style="2" customWidth="1"/>
    <col min="8" max="9" width="12.85546875" style="1" customWidth="1"/>
    <col min="10" max="10" width="4.28515625" style="1" customWidth="1"/>
    <col min="11" max="12" width="11.5703125" style="62" customWidth="1"/>
    <col min="13" max="16384" width="11.5703125" style="62"/>
  </cols>
  <sheetData>
    <row r="1" spans="1:16" x14ac:dyDescent="0.2">
      <c r="A1" s="77"/>
    </row>
    <row r="2" spans="1:16" ht="18.75" customHeight="1" x14ac:dyDescent="0.25">
      <c r="B2" s="3" t="s">
        <v>163</v>
      </c>
      <c r="F2" s="3"/>
      <c r="H2" s="55" t="s">
        <v>52</v>
      </c>
    </row>
    <row r="3" spans="1:16" ht="12.75" customHeight="1" x14ac:dyDescent="0.25">
      <c r="B3" s="143"/>
      <c r="E3" s="29" t="s">
        <v>153</v>
      </c>
      <c r="F3" s="3"/>
      <c r="I3" s="55"/>
    </row>
    <row r="5" spans="1:16" x14ac:dyDescent="0.2">
      <c r="E5" s="22" t="s">
        <v>66</v>
      </c>
      <c r="G5" s="31"/>
      <c r="H5" s="250" t="s">
        <v>207</v>
      </c>
      <c r="I5" s="250"/>
      <c r="J5" s="250"/>
      <c r="K5" s="250"/>
    </row>
    <row r="6" spans="1:16" x14ac:dyDescent="0.2">
      <c r="E6" s="178" t="s">
        <v>200</v>
      </c>
      <c r="F6" s="4">
        <v>110</v>
      </c>
      <c r="G6" s="151"/>
      <c r="H6" s="250"/>
      <c r="I6" s="250"/>
      <c r="J6" s="250"/>
      <c r="K6" s="250"/>
    </row>
    <row r="7" spans="1:16" ht="13.5" thickBot="1" x14ac:dyDescent="0.25">
      <c r="E7" s="136"/>
      <c r="L7" s="146"/>
      <c r="M7" s="146"/>
      <c r="N7" s="146"/>
      <c r="O7" s="146"/>
    </row>
    <row r="8" spans="1:16" ht="27.75" customHeight="1" thickBot="1" x14ac:dyDescent="0.25">
      <c r="E8" s="163" t="s">
        <v>195</v>
      </c>
      <c r="F8" s="163"/>
      <c r="G8" s="179" t="s">
        <v>241</v>
      </c>
      <c r="K8" s="238" t="s">
        <v>199</v>
      </c>
      <c r="L8" s="239"/>
    </row>
    <row r="9" spans="1:16" x14ac:dyDescent="0.2">
      <c r="K9" s="30"/>
      <c r="L9" s="176"/>
    </row>
    <row r="10" spans="1:16" ht="12.75" customHeight="1" x14ac:dyDescent="0.2">
      <c r="E10" s="163" t="s">
        <v>193</v>
      </c>
      <c r="F10" s="163"/>
      <c r="K10" s="30" t="s">
        <v>51</v>
      </c>
      <c r="L10" s="176"/>
    </row>
    <row r="11" spans="1:16" x14ac:dyDescent="0.2">
      <c r="E11" s="59"/>
      <c r="F11" s="89"/>
      <c r="G11" s="90"/>
      <c r="K11" s="30" t="s">
        <v>201</v>
      </c>
      <c r="L11" s="176"/>
    </row>
    <row r="12" spans="1:16" ht="13.5" thickBot="1" x14ac:dyDescent="0.25">
      <c r="E12" s="22" t="s">
        <v>194</v>
      </c>
      <c r="F12" s="163"/>
      <c r="K12" s="30" t="s">
        <v>241</v>
      </c>
      <c r="L12" s="176"/>
    </row>
    <row r="13" spans="1:16" x14ac:dyDescent="0.2">
      <c r="K13" s="181"/>
      <c r="L13" s="181"/>
      <c r="M13" s="173"/>
      <c r="P13" s="140"/>
    </row>
    <row r="14" spans="1:16" ht="15" customHeight="1" x14ac:dyDescent="0.2">
      <c r="A14" s="214" t="s">
        <v>0</v>
      </c>
      <c r="B14" s="214"/>
      <c r="C14" s="214"/>
      <c r="K14" s="173"/>
      <c r="L14" s="173"/>
      <c r="O14" s="140"/>
      <c r="P14" s="140"/>
    </row>
    <row r="15" spans="1:16" ht="15" customHeight="1" x14ac:dyDescent="0.2">
      <c r="A15" s="214"/>
      <c r="B15" s="214"/>
      <c r="C15" s="214"/>
    </row>
    <row r="16" spans="1:16" ht="15" customHeight="1" x14ac:dyDescent="0.2">
      <c r="A16" s="214"/>
      <c r="B16" s="214"/>
      <c r="C16" s="214"/>
      <c r="E16" s="163"/>
      <c r="F16" s="249">
        <v>3005</v>
      </c>
      <c r="G16" s="215">
        <v>3010</v>
      </c>
      <c r="H16" s="215">
        <v>3025</v>
      </c>
      <c r="I16" s="215">
        <v>3050</v>
      </c>
      <c r="J16" s="62"/>
      <c r="K16" s="137"/>
    </row>
    <row r="17" spans="1:23" ht="15" customHeight="1" x14ac:dyDescent="0.2">
      <c r="A17" s="95"/>
      <c r="B17" s="95"/>
      <c r="C17" s="95"/>
      <c r="E17" s="163"/>
      <c r="F17" s="249"/>
      <c r="G17" s="215"/>
      <c r="H17" s="215"/>
      <c r="I17" s="215"/>
      <c r="J17" s="62"/>
      <c r="K17" s="137"/>
    </row>
    <row r="18" spans="1:23" ht="15" customHeight="1" thickBot="1" x14ac:dyDescent="0.25">
      <c r="A18" s="214" t="s">
        <v>6</v>
      </c>
      <c r="B18" s="214"/>
      <c r="C18" s="214"/>
      <c r="F18" s="2"/>
      <c r="G18" s="1"/>
      <c r="J18" s="62"/>
      <c r="K18" s="140"/>
      <c r="P18" s="152"/>
      <c r="Q18" s="152"/>
      <c r="R18" s="152"/>
      <c r="S18" s="152"/>
      <c r="T18" s="152"/>
      <c r="U18" s="152"/>
      <c r="V18" s="152"/>
      <c r="W18" s="152"/>
    </row>
    <row r="19" spans="1:23" ht="15" customHeight="1" x14ac:dyDescent="0.2">
      <c r="A19" s="214"/>
      <c r="B19" s="214"/>
      <c r="C19" s="214"/>
      <c r="E19" s="96" t="s">
        <v>54</v>
      </c>
      <c r="F19" s="85"/>
      <c r="G19" s="85"/>
      <c r="H19" s="85"/>
      <c r="I19" s="86"/>
      <c r="J19" s="154"/>
      <c r="K19" s="221" t="s">
        <v>7</v>
      </c>
      <c r="L19" s="221"/>
      <c r="M19" s="221"/>
      <c r="N19" s="221"/>
      <c r="P19" s="152"/>
      <c r="Q19" s="152"/>
      <c r="R19" s="152"/>
      <c r="S19" s="152"/>
      <c r="T19" s="152"/>
      <c r="U19" s="152"/>
      <c r="V19" s="152"/>
      <c r="W19" s="152"/>
    </row>
    <row r="20" spans="1:23" ht="15" customHeight="1" thickBot="1" x14ac:dyDescent="0.25">
      <c r="A20" s="214"/>
      <c r="B20" s="214"/>
      <c r="C20" s="214"/>
      <c r="D20" s="63"/>
      <c r="E20" s="80" t="s">
        <v>8</v>
      </c>
      <c r="F20" s="35" t="str">
        <f>IF(AND('Results Su8 3005'!C13&gt;1000,'Results Su8 3005'!C13&lt;5900),'Results Su8 3005'!C13,"NA")</f>
        <v>NA</v>
      </c>
      <c r="G20" s="35" t="str">
        <f>IF(AND('Results Su8 3010'!C13&gt;1000,'Results Su8 3010'!C13&lt;5900),'Results Su8 3010'!C13,"NA")</f>
        <v>NA</v>
      </c>
      <c r="H20" s="35" t="str">
        <f>IF(AND('Results Su8 3025'!C13&gt;1000,'Results Su8 3025'!C13&lt;5900),'Results Su8 3025'!C13,"NA")</f>
        <v>NA</v>
      </c>
      <c r="I20" s="36">
        <f>IF(AND('Results Su8 3050'!C13&gt;750,'Results Su8 3050'!C13&lt;5900),'Results Su8 3050'!C13,"NA")</f>
        <v>1093.1360755320738</v>
      </c>
      <c r="J20" s="156"/>
      <c r="K20" s="222"/>
      <c r="L20" s="222"/>
      <c r="M20" s="222"/>
      <c r="N20" s="222"/>
      <c r="P20" s="152"/>
      <c r="Q20" s="152"/>
      <c r="R20" s="152"/>
      <c r="S20" s="152"/>
      <c r="T20" s="152"/>
      <c r="U20" s="152"/>
      <c r="V20" s="152"/>
      <c r="W20" s="152"/>
    </row>
    <row r="21" spans="1:23" ht="15" customHeight="1" thickTop="1" x14ac:dyDescent="0.2">
      <c r="E21" s="64"/>
      <c r="F21" s="65"/>
      <c r="G21" s="66"/>
      <c r="H21" s="66"/>
      <c r="I21" s="67"/>
      <c r="J21" s="62"/>
      <c r="O21" s="152"/>
      <c r="P21" s="152"/>
      <c r="Q21" s="152"/>
      <c r="R21" s="152"/>
      <c r="S21" s="152"/>
      <c r="T21" s="152"/>
      <c r="U21" s="152"/>
      <c r="V21" s="152"/>
      <c r="W21" s="152"/>
    </row>
    <row r="22" spans="1:23" ht="15" customHeight="1" x14ac:dyDescent="0.2">
      <c r="A22" s="214" t="s">
        <v>9</v>
      </c>
      <c r="B22" s="214"/>
      <c r="C22" s="214"/>
      <c r="E22" s="97" t="s">
        <v>156</v>
      </c>
      <c r="F22" s="93"/>
      <c r="G22" s="68"/>
      <c r="H22" s="68"/>
      <c r="I22" s="94"/>
      <c r="J22" s="62"/>
      <c r="K22" s="223" t="s">
        <v>166</v>
      </c>
      <c r="L22" s="223"/>
      <c r="M22" s="223"/>
      <c r="N22" s="223"/>
      <c r="O22" s="164"/>
      <c r="P22" s="152"/>
      <c r="Q22" s="152"/>
      <c r="R22" s="152"/>
      <c r="S22" s="152"/>
      <c r="T22" s="152"/>
      <c r="U22" s="152"/>
      <c r="V22" s="152"/>
      <c r="W22" s="152"/>
    </row>
    <row r="23" spans="1:23" ht="15" customHeight="1" x14ac:dyDescent="0.2">
      <c r="A23" s="214"/>
      <c r="B23" s="214"/>
      <c r="C23" s="214"/>
      <c r="E23" s="82"/>
      <c r="F23" s="91"/>
      <c r="G23" s="38"/>
      <c r="H23" s="38"/>
      <c r="I23" s="39"/>
      <c r="J23" s="62"/>
      <c r="K23" s="223"/>
      <c r="L23" s="223"/>
      <c r="M23" s="223"/>
      <c r="N23" s="223"/>
      <c r="O23" s="164"/>
      <c r="P23" s="152"/>
      <c r="Q23" s="152"/>
      <c r="R23" s="152"/>
      <c r="S23" s="152"/>
      <c r="T23" s="152"/>
      <c r="U23" s="152"/>
      <c r="V23" s="152"/>
      <c r="W23" s="152"/>
    </row>
    <row r="24" spans="1:23" ht="15" customHeight="1" thickBot="1" x14ac:dyDescent="0.25">
      <c r="A24" s="214"/>
      <c r="B24" s="214"/>
      <c r="C24" s="214"/>
      <c r="D24" s="63"/>
      <c r="E24" s="83" t="s">
        <v>107</v>
      </c>
      <c r="F24" s="160" t="str">
        <f>IF(AND('Results Su8 3005'!C13&gt;1000,'Results Su8 3005'!C13&lt;5900),'Results Su8 3005'!E13,"NA")</f>
        <v>NA</v>
      </c>
      <c r="G24" s="44" t="str">
        <f>IF(AND('Results Su8 3010'!C13&gt;1000,'Results Su8 3010'!C13&lt;5900),'Results Su8 3010'!E13,"NA")</f>
        <v>NA</v>
      </c>
      <c r="H24" s="44" t="str">
        <f>IF(AND('Results Su8 3025'!C13&gt;1000,'Results Su8 3025'!C13&lt;5900),'Results Su8 3025'!E13,"NA")</f>
        <v>NA</v>
      </c>
      <c r="I24" s="45">
        <f>IF(AND('Results Su8 3050'!C13&gt;750,'Results Su8 3050'!C13&lt;5900),'Results Su8 3050'!E13,"NA")</f>
        <v>50</v>
      </c>
      <c r="J24" s="87"/>
      <c r="K24" s="224"/>
      <c r="L24" s="224"/>
      <c r="M24" s="224"/>
      <c r="N24" s="224"/>
      <c r="O24" s="164"/>
      <c r="P24" s="152"/>
      <c r="Q24" s="145"/>
      <c r="R24" s="145"/>
      <c r="S24" s="145"/>
      <c r="T24" s="145"/>
      <c r="U24" s="152"/>
      <c r="V24" s="152"/>
      <c r="W24" s="152"/>
    </row>
    <row r="25" spans="1:23" ht="15" customHeight="1" thickTop="1" x14ac:dyDescent="0.2">
      <c r="A25" s="95"/>
      <c r="B25" s="95"/>
      <c r="C25" s="95"/>
      <c r="D25" s="33"/>
      <c r="E25" s="30"/>
      <c r="F25" s="31"/>
      <c r="G25" s="33"/>
      <c r="H25" s="33"/>
      <c r="I25" s="34"/>
      <c r="J25" s="62"/>
      <c r="O25" s="152"/>
      <c r="P25" s="152"/>
      <c r="Q25" s="145"/>
      <c r="R25" s="145"/>
      <c r="S25" s="145"/>
      <c r="T25" s="145"/>
      <c r="U25" s="152"/>
      <c r="V25" s="152"/>
      <c r="W25" s="152"/>
    </row>
    <row r="26" spans="1:23" ht="15" customHeight="1" x14ac:dyDescent="0.2">
      <c r="E26" s="108"/>
      <c r="F26" s="109"/>
      <c r="G26" s="109"/>
      <c r="H26" s="109"/>
      <c r="I26" s="110"/>
      <c r="J26" s="62"/>
      <c r="K26" s="219" t="s">
        <v>70</v>
      </c>
      <c r="L26" s="219"/>
      <c r="M26" s="219"/>
      <c r="N26" s="219"/>
      <c r="O26" s="145"/>
      <c r="P26" s="152"/>
      <c r="Q26" s="145"/>
      <c r="R26" s="145"/>
      <c r="S26" s="145"/>
      <c r="T26" s="145"/>
      <c r="U26" s="152"/>
      <c r="V26" s="152"/>
      <c r="W26" s="152"/>
    </row>
    <row r="27" spans="1:23" ht="15" customHeight="1" x14ac:dyDescent="0.2">
      <c r="E27" s="97" t="s">
        <v>197</v>
      </c>
      <c r="F27" s="174" t="str">
        <f>G8</f>
        <v>MLA150</v>
      </c>
      <c r="G27" s="182" t="str">
        <f>IF(OR(F27="MJB4",F27="MLA150",F27="MA6 Gen3"),"/ i-line","/ broadband")</f>
        <v>/ i-line</v>
      </c>
      <c r="H27" s="98"/>
      <c r="I27" s="99"/>
      <c r="J27" s="62"/>
      <c r="K27" s="219"/>
      <c r="L27" s="219"/>
      <c r="M27" s="219"/>
      <c r="N27" s="219"/>
      <c r="O27" s="145"/>
      <c r="P27" s="152"/>
      <c r="Q27" s="152"/>
      <c r="R27" s="152"/>
      <c r="S27" s="152"/>
      <c r="T27" s="152"/>
      <c r="U27" s="152"/>
      <c r="V27" s="152"/>
      <c r="W27" s="152"/>
    </row>
    <row r="28" spans="1:23" ht="15" customHeight="1" x14ac:dyDescent="0.2">
      <c r="A28" s="214" t="s">
        <v>11</v>
      </c>
      <c r="B28" s="214"/>
      <c r="C28" s="214"/>
      <c r="E28" s="159" t="str">
        <f>IF(OR(F27="MJB4",F27="MA6 Gen3"),"Intensity [mW/cm2]","Writehead [mm]")</f>
        <v>Writehead [mm]</v>
      </c>
      <c r="F28" s="37">
        <v>20</v>
      </c>
      <c r="G28" s="37">
        <v>20</v>
      </c>
      <c r="H28" s="37">
        <v>20</v>
      </c>
      <c r="I28" s="37">
        <v>20</v>
      </c>
      <c r="J28" s="30"/>
      <c r="K28" s="219"/>
      <c r="L28" s="219"/>
      <c r="M28" s="219"/>
      <c r="N28" s="219"/>
      <c r="O28" s="145"/>
      <c r="P28" s="152"/>
      <c r="Q28" s="152"/>
      <c r="R28" s="152"/>
      <c r="S28" s="152"/>
      <c r="T28" s="152"/>
      <c r="U28" s="152"/>
      <c r="V28" s="152"/>
      <c r="W28" s="152"/>
    </row>
    <row r="29" spans="1:23" ht="15" customHeight="1" x14ac:dyDescent="0.2">
      <c r="A29" s="214"/>
      <c r="B29" s="214"/>
      <c r="C29" s="214"/>
      <c r="E29" s="81" t="s">
        <v>198</v>
      </c>
      <c r="F29" s="31" t="str">
        <f>IF(AND('Results Su8 3005'!C13&gt;1000,'Results Su8 3005'!C13&lt;5900),'Results Su8 3005'!D13,"NA")</f>
        <v>NA</v>
      </c>
      <c r="G29" s="31" t="str">
        <f>IF(AND('Results Su8 3010'!C13&gt;1000,'Results Su8 3010'!C13&lt;5900),'Results Su8 3010'!D13,"NA")</f>
        <v>NA</v>
      </c>
      <c r="H29" s="31" t="str">
        <f>IF(AND('Results Su8 3025'!C13&gt;1000,'Results Su8 3025'!C13&lt;5900),'Results Su8 3025'!D13,"NA")</f>
        <v>NA</v>
      </c>
      <c r="I29" s="32">
        <f>IF(AND('Results Su8 3050'!C13&gt;750,'Results Su8 3050'!C13&lt;5900),'Results Su8 3050'!D13,"NA")</f>
        <v>420.5</v>
      </c>
      <c r="J29" s="62"/>
      <c r="K29" s="219"/>
      <c r="L29" s="219"/>
      <c r="M29" s="219"/>
      <c r="N29" s="219"/>
      <c r="O29" s="145"/>
      <c r="P29" s="152"/>
      <c r="Q29" s="152"/>
      <c r="R29" s="152"/>
      <c r="S29" s="152"/>
      <c r="T29" s="152"/>
      <c r="U29" s="152"/>
      <c r="V29" s="152"/>
      <c r="W29" s="152"/>
    </row>
    <row r="30" spans="1:23" ht="15" customHeight="1" thickBot="1" x14ac:dyDescent="0.25">
      <c r="A30" s="214"/>
      <c r="B30" s="214"/>
      <c r="C30" s="214"/>
      <c r="D30" s="63"/>
      <c r="E30" s="83"/>
      <c r="F30" s="38"/>
      <c r="G30" s="38"/>
      <c r="H30" s="38"/>
      <c r="I30" s="38"/>
      <c r="J30" s="142"/>
      <c r="K30" s="220"/>
      <c r="L30" s="220"/>
      <c r="M30" s="220"/>
      <c r="N30" s="220"/>
      <c r="O30" s="145"/>
      <c r="P30" s="152"/>
      <c r="Q30" s="152"/>
      <c r="R30" s="152"/>
      <c r="S30" s="152"/>
      <c r="T30" s="152"/>
      <c r="U30" s="152"/>
      <c r="V30" s="152"/>
      <c r="W30" s="152"/>
    </row>
    <row r="31" spans="1:23" ht="15" customHeight="1" thickTop="1" x14ac:dyDescent="0.2">
      <c r="E31" s="64"/>
      <c r="F31" s="31"/>
      <c r="G31" s="33"/>
      <c r="H31" s="33"/>
      <c r="I31" s="34"/>
      <c r="J31" s="62"/>
      <c r="O31" s="152"/>
      <c r="P31" s="152"/>
      <c r="Q31" s="152"/>
      <c r="R31" s="152"/>
      <c r="S31" s="152"/>
      <c r="T31" s="152"/>
      <c r="U31" s="152"/>
      <c r="V31" s="152"/>
      <c r="W31" s="152"/>
    </row>
    <row r="32" spans="1:23" ht="15" customHeight="1" x14ac:dyDescent="0.2">
      <c r="A32" s="214" t="s">
        <v>13</v>
      </c>
      <c r="B32" s="214"/>
      <c r="C32" s="214"/>
      <c r="E32" s="97" t="s">
        <v>157</v>
      </c>
      <c r="F32" s="31"/>
      <c r="G32" s="33"/>
      <c r="H32" s="33"/>
      <c r="I32" s="34"/>
      <c r="J32" s="62"/>
      <c r="K32" s="219" t="s">
        <v>165</v>
      </c>
      <c r="L32" s="219"/>
      <c r="M32" s="219"/>
      <c r="N32" s="219"/>
      <c r="O32" s="145"/>
      <c r="P32" s="152"/>
      <c r="Q32" s="152"/>
      <c r="R32" s="152"/>
      <c r="S32" s="152"/>
      <c r="T32" s="152"/>
      <c r="U32" s="152"/>
      <c r="V32" s="152"/>
      <c r="W32" s="152"/>
    </row>
    <row r="33" spans="1:23" ht="15" customHeight="1" x14ac:dyDescent="0.2">
      <c r="A33" s="214"/>
      <c r="B33" s="214"/>
      <c r="C33" s="214"/>
      <c r="E33" s="82" t="s">
        <v>109</v>
      </c>
      <c r="F33" s="91">
        <v>1</v>
      </c>
      <c r="G33" s="38">
        <v>1</v>
      </c>
      <c r="H33" s="38">
        <v>1</v>
      </c>
      <c r="I33" s="39">
        <v>1</v>
      </c>
      <c r="J33" s="62"/>
      <c r="K33" s="219"/>
      <c r="L33" s="219"/>
      <c r="M33" s="219"/>
      <c r="N33" s="219"/>
      <c r="O33" s="145"/>
      <c r="P33" s="152"/>
      <c r="Q33" s="152"/>
      <c r="R33" s="152"/>
      <c r="S33" s="152"/>
      <c r="T33" s="152"/>
      <c r="U33" s="152"/>
      <c r="V33" s="152"/>
      <c r="W33" s="152"/>
    </row>
    <row r="34" spans="1:23" ht="15" customHeight="1" thickBot="1" x14ac:dyDescent="0.25">
      <c r="A34" s="214"/>
      <c r="B34" s="214"/>
      <c r="C34" s="214"/>
      <c r="D34" s="63"/>
      <c r="E34" s="83" t="s">
        <v>107</v>
      </c>
      <c r="F34" s="44" t="str">
        <f>IF(AND('Results Su8 3005'!C13&gt;1000,'Results Su8 3005'!C13&lt;5900),'Results Su8 3005'!F13,"NA")</f>
        <v>NA</v>
      </c>
      <c r="G34" s="44" t="str">
        <f>IF(AND('Results Su8 3010'!C13&gt;1000,'Results Su8 3010'!C13&lt;5900),'Results Su8 3010'!F13,"NA")</f>
        <v>NA</v>
      </c>
      <c r="H34" s="44" t="str">
        <f>IF(AND('Results Su8 3025'!C13&gt;1000,'Results Su8 3025'!C13&lt;5900),'Results Su8 3025'!F13,"NA")</f>
        <v>NA</v>
      </c>
      <c r="I34" s="45">
        <f>IF(AND('Results Su8 3050'!C13&gt;750,'Results Su8 3050'!C13&lt;5900),'Results Su8 3050'!F13,"NA")</f>
        <v>5.33</v>
      </c>
      <c r="J34" s="142"/>
      <c r="K34" s="220"/>
      <c r="L34" s="220"/>
      <c r="M34" s="220"/>
      <c r="N34" s="220"/>
      <c r="O34" s="145"/>
      <c r="P34" s="152"/>
      <c r="Q34" s="152"/>
      <c r="R34" s="152"/>
      <c r="S34" s="152"/>
      <c r="T34" s="152"/>
      <c r="U34" s="152"/>
      <c r="V34" s="152"/>
      <c r="W34" s="152"/>
    </row>
    <row r="35" spans="1:23" ht="15" customHeight="1" thickTop="1" x14ac:dyDescent="0.2">
      <c r="E35" s="64"/>
      <c r="F35" s="31"/>
      <c r="G35" s="33"/>
      <c r="H35" s="33"/>
      <c r="I35" s="34"/>
      <c r="J35" s="62"/>
      <c r="O35" s="152"/>
      <c r="P35" s="152"/>
      <c r="Q35" s="152"/>
      <c r="R35" s="152"/>
      <c r="S35" s="152"/>
      <c r="T35" s="152"/>
      <c r="U35" s="152"/>
      <c r="V35" s="152"/>
      <c r="W35" s="152"/>
    </row>
    <row r="36" spans="1:23" ht="15" customHeight="1" x14ac:dyDescent="0.2">
      <c r="A36" s="214" t="s">
        <v>14</v>
      </c>
      <c r="B36" s="214"/>
      <c r="C36" s="214"/>
      <c r="E36" s="30"/>
      <c r="F36" s="31"/>
      <c r="G36" s="33"/>
      <c r="H36" s="33"/>
      <c r="I36" s="34"/>
      <c r="J36" s="62"/>
      <c r="K36" s="219" t="s">
        <v>69</v>
      </c>
      <c r="L36" s="219"/>
      <c r="M36" s="219"/>
      <c r="N36" s="219"/>
      <c r="O36" s="145"/>
      <c r="P36" s="152"/>
      <c r="Q36" s="152"/>
      <c r="R36" s="152"/>
      <c r="S36" s="152"/>
      <c r="T36" s="152"/>
      <c r="U36" s="152"/>
      <c r="V36" s="152"/>
      <c r="W36" s="152"/>
    </row>
    <row r="37" spans="1:23" ht="15" customHeight="1" x14ac:dyDescent="0.2">
      <c r="A37" s="214"/>
      <c r="B37" s="214"/>
      <c r="C37" s="214"/>
      <c r="E37" s="97" t="s">
        <v>158</v>
      </c>
      <c r="F37" s="93"/>
      <c r="G37" s="68"/>
      <c r="H37" s="68"/>
      <c r="I37" s="94"/>
      <c r="J37" s="62"/>
      <c r="K37" s="219"/>
      <c r="L37" s="219"/>
      <c r="M37" s="219"/>
      <c r="N37" s="219"/>
      <c r="O37" s="145"/>
      <c r="P37" s="152"/>
      <c r="Q37" s="152"/>
      <c r="R37" s="152"/>
      <c r="S37" s="152"/>
      <c r="T37" s="152"/>
      <c r="U37" s="152"/>
      <c r="V37" s="152"/>
      <c r="W37" s="152"/>
    </row>
    <row r="38" spans="1:23" ht="15" customHeight="1" thickBot="1" x14ac:dyDescent="0.25">
      <c r="A38" s="214"/>
      <c r="B38" s="214"/>
      <c r="C38" s="214"/>
      <c r="D38" s="63"/>
      <c r="E38" s="83" t="s">
        <v>65</v>
      </c>
      <c r="F38" s="130" t="str">
        <f>IF(AND('Results Su8 3005'!C13&gt;1000,'Results Su8 3005'!C13&lt;5900),'Results Su8 3005'!G13,"NA")</f>
        <v>NA</v>
      </c>
      <c r="G38" s="130" t="str">
        <f>IF(AND('Results Su8 3010'!C13&gt;1000,'Results Su8 3010'!C13&lt;5900),'Results Su8 3010'!G13,"NA")</f>
        <v>NA</v>
      </c>
      <c r="H38" s="130" t="str">
        <f>IF(AND('Results Su8 3025'!C13&gt;1000,'Results Su8 3025'!C13&lt;5900),'Results Su8 3025'!G13,"NA")</f>
        <v>NA</v>
      </c>
      <c r="I38" s="131">
        <f>IF(AND('Results Su8 3050'!C13&gt;750,'Results Su8 3050'!C13&lt;5900),'Results Su8 3050'!G13,"NA")</f>
        <v>16.330000000000002</v>
      </c>
      <c r="J38" s="142"/>
      <c r="K38" s="220"/>
      <c r="L38" s="220"/>
      <c r="M38" s="220"/>
      <c r="N38" s="220"/>
      <c r="O38" s="145"/>
      <c r="P38" s="152"/>
      <c r="Q38" s="152"/>
      <c r="R38" s="152"/>
      <c r="S38" s="152"/>
      <c r="T38" s="152"/>
      <c r="U38" s="152"/>
      <c r="V38" s="152"/>
      <c r="W38" s="152"/>
    </row>
    <row r="39" spans="1:23" ht="15" customHeight="1" thickTop="1" x14ac:dyDescent="0.2">
      <c r="E39" s="64"/>
      <c r="F39" s="31"/>
      <c r="G39" s="33"/>
      <c r="H39" s="33"/>
      <c r="I39" s="34"/>
      <c r="J39" s="62"/>
    </row>
    <row r="40" spans="1:23" ht="15" customHeight="1" x14ac:dyDescent="0.2">
      <c r="A40" s="251" t="s">
        <v>15</v>
      </c>
      <c r="B40" s="252"/>
      <c r="C40" s="253"/>
      <c r="E40" s="30"/>
      <c r="F40" s="31"/>
      <c r="G40" s="33"/>
      <c r="H40" s="33"/>
      <c r="I40" s="34"/>
      <c r="J40" s="62"/>
    </row>
    <row r="41" spans="1:23" ht="15" customHeight="1" x14ac:dyDescent="0.25">
      <c r="A41" s="254"/>
      <c r="B41" s="231"/>
      <c r="C41" s="255"/>
      <c r="E41" s="158" t="s">
        <v>160</v>
      </c>
      <c r="F41" s="31"/>
      <c r="G41" s="33"/>
      <c r="H41" s="33"/>
      <c r="I41" s="34"/>
      <c r="J41" s="62"/>
    </row>
    <row r="42" spans="1:23" ht="15" customHeight="1" thickBot="1" x14ac:dyDescent="0.25">
      <c r="A42" s="256"/>
      <c r="B42" s="257"/>
      <c r="C42" s="258"/>
      <c r="D42" s="68"/>
      <c r="E42" s="135" t="s">
        <v>161</v>
      </c>
      <c r="F42" s="132">
        <v>2</v>
      </c>
      <c r="G42" s="133">
        <v>2</v>
      </c>
      <c r="H42" s="133">
        <v>2</v>
      </c>
      <c r="I42" s="134">
        <v>2</v>
      </c>
      <c r="J42" s="161"/>
      <c r="K42" s="162" t="s">
        <v>162</v>
      </c>
      <c r="L42" s="162"/>
      <c r="M42" s="162"/>
      <c r="N42" s="162"/>
    </row>
    <row r="44" spans="1:23" s="47" customFormat="1" ht="12.75" customHeight="1" x14ac:dyDescent="0.2">
      <c r="B44" s="111"/>
      <c r="C44" s="111"/>
      <c r="D44" s="60"/>
      <c r="E44" s="124" t="s">
        <v>98</v>
      </c>
      <c r="F44" s="113"/>
      <c r="G44" s="113"/>
      <c r="H44" s="113"/>
      <c r="I44" s="113"/>
      <c r="J44" s="113"/>
      <c r="K44" s="111"/>
      <c r="L44" s="111"/>
      <c r="M44" s="111"/>
      <c r="N44" s="111"/>
    </row>
    <row r="45" spans="1:23" s="47" customFormat="1" x14ac:dyDescent="0.2">
      <c r="B45" s="111"/>
      <c r="C45" s="111"/>
      <c r="D45" s="60"/>
      <c r="E45" s="113"/>
      <c r="F45" s="113"/>
      <c r="G45" s="113"/>
      <c r="H45" s="113"/>
      <c r="I45" s="113"/>
      <c r="J45" s="113"/>
      <c r="K45" s="111"/>
      <c r="L45" s="111"/>
      <c r="M45" s="111"/>
      <c r="N45" s="111"/>
    </row>
    <row r="46" spans="1:23" x14ac:dyDescent="0.2">
      <c r="B46" s="101"/>
      <c r="C46" s="101"/>
      <c r="D46" s="112"/>
      <c r="E46" s="113"/>
      <c r="F46" s="113"/>
      <c r="G46" s="113"/>
      <c r="H46" s="113"/>
      <c r="I46" s="113"/>
      <c r="J46" s="113"/>
      <c r="K46" s="101"/>
      <c r="L46" s="101"/>
      <c r="M46" s="101"/>
      <c r="N46" s="101"/>
    </row>
  </sheetData>
  <mergeCells count="18">
    <mergeCell ref="A14:C16"/>
    <mergeCell ref="K26:N30"/>
    <mergeCell ref="K32:N34"/>
    <mergeCell ref="K36:N38"/>
    <mergeCell ref="K22:N24"/>
    <mergeCell ref="K19:N20"/>
    <mergeCell ref="A40:C42"/>
    <mergeCell ref="A18:C20"/>
    <mergeCell ref="A22:C24"/>
    <mergeCell ref="A28:C30"/>
    <mergeCell ref="A32:C34"/>
    <mergeCell ref="A36:C38"/>
    <mergeCell ref="G16:G17"/>
    <mergeCell ref="H16:H17"/>
    <mergeCell ref="F16:F17"/>
    <mergeCell ref="I16:I17"/>
    <mergeCell ref="H5:K6"/>
    <mergeCell ref="K8:L8"/>
  </mergeCells>
  <conditionalFormatting sqref="F29:I29">
    <cfRule type="cellIs" dxfId="5" priority="7" stopIfTrue="1" operator="between">
      <formula>0</formula>
      <formula>10000</formula>
    </cfRule>
  </conditionalFormatting>
  <conditionalFormatting sqref="F20:I20">
    <cfRule type="cellIs" dxfId="4" priority="6" stopIfTrue="1" operator="between">
      <formula>750</formula>
      <formula>5990</formula>
    </cfRule>
  </conditionalFormatting>
  <conditionalFormatting sqref="F24:I24 F34:I34">
    <cfRule type="cellIs" dxfId="3" priority="5" stopIfTrue="1" operator="between">
      <formula>0</formula>
      <formula>100</formula>
    </cfRule>
  </conditionalFormatting>
  <conditionalFormatting sqref="F38:I38">
    <cfRule type="cellIs" dxfId="2" priority="3" stopIfTrue="1" operator="between">
      <formula>0</formula>
      <formula>100</formula>
    </cfRule>
  </conditionalFormatting>
  <dataValidations count="1">
    <dataValidation type="list" allowBlank="1" showInputMessage="1" showErrorMessage="1" sqref="G8" xr:uid="{00000000-0002-0000-0400-000000000000}">
      <formula1>$K$10:$K$12</formula1>
    </dataValidation>
  </dataValidations>
  <hyperlinks>
    <hyperlink ref="F16" location="'Results GM 1040'!A13" display="GM 1040" xr:uid="{00000000-0004-0000-0400-000000000000}"/>
    <hyperlink ref="G16" location="'Results GM 1050'!A13" display="GM 1050" xr:uid="{00000000-0004-0000-0400-000001000000}"/>
    <hyperlink ref="H16" location="'Results GM 1060'!A13" display="GM 1060" xr:uid="{00000000-0004-0000-0400-000002000000}"/>
    <hyperlink ref="I16" location="'Results GM 1075'!A13" display="GM 1075" xr:uid="{00000000-0004-0000-0400-000003000000}"/>
    <hyperlink ref="H2" location="Home!A5" display="Home" xr:uid="{00000000-0004-0000-0400-000004000000}"/>
    <hyperlink ref="E44" location="Troubleshoot!A1" display="Troubleshooting guidelines" xr:uid="{00000000-0004-0000-0400-000005000000}"/>
    <hyperlink ref="E3" r:id="rId1" xr:uid="{00000000-0004-0000-0400-000006000000}"/>
    <hyperlink ref="K19" location="'Spin graph'!A1" display="Velocity profile" xr:uid="{00000000-0004-0000-0400-000007000000}"/>
    <hyperlink ref="F16:I17" r:id="rId2" display="http://www.microchem.com/pdf/SU-8 3000 Data Sheet.pdf" xr:uid="{00000000-0004-0000-0400-000008000000}"/>
    <hyperlink ref="E6" location="'Z01 Runcard'!A1" display="Z01 Sawatec LSM200" xr:uid="{00000000-0004-0000-0400-000009000000}"/>
  </hyperlinks>
  <pageMargins left="0.25" right="0.25" top="0.75" bottom="0.75" header="0.3" footer="0.3"/>
  <pageSetup paperSize="9" scale="84" firstPageNumber="0" orientation="landscape" horizontalDpi="300" verticalDpi="300" r:id="rId3"/>
  <headerFooter alignWithMargins="0">
    <oddHeader>&amp;C&amp;"Times New Roman,Normal"&amp;12SU8 Processing CMi BM+1</oddHeader>
    <oddFooter>&amp;C&amp;"Times New Roman,Normal"&amp;12Page &amp;P</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zoomScaleNormal="100" workbookViewId="0">
      <selection activeCell="N8" sqref="N8"/>
    </sheetView>
  </sheetViews>
  <sheetFormatPr baseColWidth="10" defaultColWidth="11.42578125" defaultRowHeight="12.75" x14ac:dyDescent="0.2"/>
  <cols>
    <col min="1" max="1" width="6.85546875" style="5" customWidth="1"/>
    <col min="2" max="2" width="15.5703125" style="5" customWidth="1"/>
    <col min="3" max="3" width="22.7109375" style="5" customWidth="1"/>
    <col min="4" max="4" width="44.28515625" style="5" customWidth="1"/>
    <col min="5" max="5" width="36.7109375" style="5" customWidth="1"/>
    <col min="6" max="6" width="18.28515625" style="6" customWidth="1"/>
    <col min="7" max="16384" width="11.42578125" style="62"/>
  </cols>
  <sheetData>
    <row r="1" spans="1:6" x14ac:dyDescent="0.2">
      <c r="E1" s="28" t="s">
        <v>169</v>
      </c>
    </row>
    <row r="2" spans="1:6" x14ac:dyDescent="0.2">
      <c r="E2" s="28"/>
    </row>
    <row r="3" spans="1:6" ht="24" customHeight="1" x14ac:dyDescent="0.2">
      <c r="A3" s="7" t="s">
        <v>16</v>
      </c>
      <c r="B3" s="7" t="s">
        <v>17</v>
      </c>
      <c r="C3" s="7" t="s">
        <v>18</v>
      </c>
      <c r="D3" s="7" t="s">
        <v>19</v>
      </c>
      <c r="E3" s="7" t="s">
        <v>20</v>
      </c>
    </row>
    <row r="4" spans="1:6" ht="12.75" customHeight="1" x14ac:dyDescent="0.2">
      <c r="A4" s="8" t="s">
        <v>21</v>
      </c>
      <c r="B4" s="246" t="s">
        <v>22</v>
      </c>
      <c r="C4" s="246"/>
      <c r="D4" s="246"/>
      <c r="E4" s="246"/>
    </row>
    <row r="5" spans="1:6" s="106" customFormat="1" ht="20.25" customHeight="1" x14ac:dyDescent="0.2">
      <c r="A5" s="10" t="str">
        <f>CONCATENATE(LEFT(A4,3),".1")</f>
        <v>X.1</v>
      </c>
      <c r="B5" s="10" t="s">
        <v>23</v>
      </c>
      <c r="C5" s="104" t="s">
        <v>67</v>
      </c>
      <c r="D5" s="104" t="s">
        <v>24</v>
      </c>
      <c r="E5" s="104" t="s">
        <v>24</v>
      </c>
      <c r="F5" s="105"/>
    </row>
    <row r="6" spans="1:6" ht="123.75" customHeight="1" x14ac:dyDescent="0.2">
      <c r="A6" s="10" t="str">
        <f>CONCATENATE(LEFT(A4,3),".2")</f>
        <v>X.2</v>
      </c>
      <c r="B6" s="10" t="s">
        <v>25</v>
      </c>
      <c r="C6" s="10" t="s">
        <v>174</v>
      </c>
      <c r="D6" s="73" t="s">
        <v>78</v>
      </c>
      <c r="E6" s="11" t="s">
        <v>168</v>
      </c>
    </row>
    <row r="7" spans="1:6" ht="70.5" customHeight="1" x14ac:dyDescent="0.2">
      <c r="A7" s="10" t="str">
        <f>CONCATENATE(LEFT(A4,3),".3")</f>
        <v>X.3</v>
      </c>
      <c r="B7" s="10" t="s">
        <v>121</v>
      </c>
      <c r="C7" s="10" t="s">
        <v>173</v>
      </c>
      <c r="D7" s="12" t="s">
        <v>180</v>
      </c>
      <c r="E7" s="10" t="s">
        <v>179</v>
      </c>
    </row>
    <row r="8" spans="1:6" ht="241.5" customHeight="1" x14ac:dyDescent="0.2">
      <c r="A8" s="10" t="str">
        <f>CONCATENATE(LEFT(A4,3),".4")</f>
        <v>X.4</v>
      </c>
      <c r="B8" s="10" t="s">
        <v>26</v>
      </c>
      <c r="C8" s="10" t="s">
        <v>173</v>
      </c>
      <c r="D8" s="10" t="s">
        <v>181</v>
      </c>
      <c r="E8" s="12" t="s">
        <v>190</v>
      </c>
    </row>
    <row r="9" spans="1:6" ht="69.75" customHeight="1" x14ac:dyDescent="0.2">
      <c r="A9" s="10" t="str">
        <f>CONCATENATE(LEFT(A4,3),".5")</f>
        <v>X.5</v>
      </c>
      <c r="B9" s="10" t="s">
        <v>149</v>
      </c>
      <c r="C9" s="10" t="s">
        <v>174</v>
      </c>
      <c r="D9" s="10" t="s">
        <v>150</v>
      </c>
      <c r="E9" s="10" t="s">
        <v>172</v>
      </c>
    </row>
    <row r="10" spans="1:6" ht="141" customHeight="1" x14ac:dyDescent="0.2">
      <c r="A10" s="10" t="str">
        <f>CONCATENATE(LEFT(A4,3),".6")</f>
        <v>X.6</v>
      </c>
      <c r="B10" s="10" t="s">
        <v>58</v>
      </c>
      <c r="C10" s="10" t="s">
        <v>175</v>
      </c>
      <c r="D10" s="10" t="s">
        <v>147</v>
      </c>
      <c r="E10" s="10" t="s">
        <v>170</v>
      </c>
    </row>
    <row r="11" spans="1:6" ht="73.5" customHeight="1" x14ac:dyDescent="0.2">
      <c r="A11" s="10" t="str">
        <f>CONCATENATE(LEFT(A4,3),".7")</f>
        <v>X.7</v>
      </c>
      <c r="B11" s="10" t="s">
        <v>27</v>
      </c>
      <c r="C11" s="10" t="s">
        <v>143</v>
      </c>
      <c r="D11" s="10" t="s">
        <v>148</v>
      </c>
      <c r="E11" s="12" t="s">
        <v>189</v>
      </c>
    </row>
    <row r="12" spans="1:6" ht="26.25" customHeight="1" x14ac:dyDescent="0.2">
      <c r="A12" s="10" t="str">
        <f>CONCATENATE(LEFT(A4,3),".8")</f>
        <v>X.8</v>
      </c>
      <c r="B12" s="10" t="s">
        <v>73</v>
      </c>
      <c r="C12" s="10" t="s">
        <v>74</v>
      </c>
      <c r="D12" s="10" t="s">
        <v>75</v>
      </c>
      <c r="E12" s="10"/>
    </row>
    <row r="13" spans="1:6" ht="132" customHeight="1" x14ac:dyDescent="0.2">
      <c r="A13" s="10" t="str">
        <f>CONCATENATE(LEFT(A4,3),".9")</f>
        <v>X.9</v>
      </c>
      <c r="B13" s="10" t="s">
        <v>77</v>
      </c>
      <c r="C13" s="10" t="s">
        <v>144</v>
      </c>
      <c r="D13" s="10" t="s">
        <v>29</v>
      </c>
      <c r="E13" s="10" t="s">
        <v>171</v>
      </c>
    </row>
    <row r="14" spans="1:6" ht="32.25" customHeight="1" x14ac:dyDescent="0.2">
      <c r="A14" s="10" t="str">
        <f>CONCATENATE(LEFT(A4,3),".10")</f>
        <v>X.10</v>
      </c>
      <c r="B14" s="10" t="s">
        <v>30</v>
      </c>
      <c r="C14" s="10" t="s">
        <v>146</v>
      </c>
      <c r="D14" s="10" t="s">
        <v>31</v>
      </c>
      <c r="E14" s="10" t="s">
        <v>32</v>
      </c>
    </row>
    <row r="15" spans="1:6" ht="27.75" customHeight="1" x14ac:dyDescent="0.2">
      <c r="A15" s="10" t="str">
        <f>CONCATENATE(LEFT(A4,3),".11")</f>
        <v>X.11</v>
      </c>
      <c r="B15" s="10" t="s">
        <v>33</v>
      </c>
      <c r="C15" s="10" t="s">
        <v>145</v>
      </c>
      <c r="D15" s="10" t="s">
        <v>76</v>
      </c>
      <c r="E15" s="10"/>
    </row>
    <row r="18" spans="1:5" s="6" customFormat="1" ht="12.75" customHeight="1" x14ac:dyDescent="0.2">
      <c r="A18" s="5"/>
      <c r="B18" s="5"/>
      <c r="C18" s="5"/>
      <c r="D18" s="5"/>
      <c r="E18" s="5"/>
    </row>
    <row r="19" spans="1:5" s="6" customFormat="1" ht="12.75" customHeight="1" x14ac:dyDescent="0.2">
      <c r="A19" s="248" t="s">
        <v>60</v>
      </c>
      <c r="B19" s="248"/>
      <c r="C19" s="248"/>
      <c r="D19" s="248"/>
      <c r="E19" s="5"/>
    </row>
    <row r="20" spans="1:5" s="6" customFormat="1" ht="12.75" customHeight="1" x14ac:dyDescent="0.2">
      <c r="A20" s="13"/>
      <c r="B20" s="13"/>
      <c r="C20" s="13"/>
      <c r="D20" s="5"/>
      <c r="E20" s="5"/>
    </row>
    <row r="21" spans="1:5" s="6" customFormat="1" ht="12.75" customHeight="1" x14ac:dyDescent="0.2">
      <c r="A21" s="247" t="s">
        <v>35</v>
      </c>
      <c r="B21" s="247"/>
      <c r="C21" s="247"/>
      <c r="D21" s="139"/>
      <c r="E21" s="5"/>
    </row>
    <row r="22" spans="1:5" s="6" customFormat="1" ht="25.5" customHeight="1" x14ac:dyDescent="0.2">
      <c r="A22" s="14" t="s">
        <v>16</v>
      </c>
      <c r="B22" s="14" t="s">
        <v>17</v>
      </c>
      <c r="C22" s="14" t="s">
        <v>18</v>
      </c>
      <c r="D22" s="14" t="s">
        <v>19</v>
      </c>
      <c r="E22" s="14" t="s">
        <v>20</v>
      </c>
    </row>
    <row r="23" spans="1:5" s="6" customFormat="1" ht="18.75" customHeight="1" x14ac:dyDescent="0.2">
      <c r="A23" s="9" t="str">
        <f>CONCATENATE(LEFT(A4,3),".1")</f>
        <v>X.1</v>
      </c>
      <c r="B23" s="9" t="s">
        <v>23</v>
      </c>
      <c r="C23" s="15" t="s">
        <v>178</v>
      </c>
      <c r="D23" s="15" t="s">
        <v>133</v>
      </c>
      <c r="E23" s="15" t="s">
        <v>37</v>
      </c>
    </row>
    <row r="24" spans="1:5" s="6" customFormat="1" ht="12.75" customHeight="1" x14ac:dyDescent="0.2">
      <c r="A24" s="13"/>
      <c r="B24" s="13"/>
      <c r="C24" s="13"/>
      <c r="D24" s="5"/>
      <c r="E24" s="5"/>
    </row>
    <row r="26" spans="1:5" s="6" customFormat="1" ht="12.75" customHeight="1" x14ac:dyDescent="0.2">
      <c r="A26" s="247" t="s">
        <v>38</v>
      </c>
      <c r="B26" s="247"/>
      <c r="C26" s="247"/>
      <c r="D26" s="247"/>
      <c r="E26" s="5"/>
    </row>
    <row r="27" spans="1:5" s="6" customFormat="1" ht="27.75" customHeight="1" x14ac:dyDescent="0.2">
      <c r="A27" s="14" t="s">
        <v>16</v>
      </c>
      <c r="B27" s="14" t="s">
        <v>17</v>
      </c>
      <c r="C27" s="14" t="s">
        <v>18</v>
      </c>
      <c r="D27" s="14" t="s">
        <v>19</v>
      </c>
      <c r="E27" s="14" t="s">
        <v>20</v>
      </c>
    </row>
    <row r="28" spans="1:5" s="6" customFormat="1" ht="31.5" customHeight="1" x14ac:dyDescent="0.2">
      <c r="A28" s="9" t="str">
        <f>CONCATENATE(LEFT(A4,3),".1")</f>
        <v>X.1</v>
      </c>
      <c r="B28" s="9" t="s">
        <v>23</v>
      </c>
      <c r="C28" s="20" t="s">
        <v>176</v>
      </c>
      <c r="D28" s="15" t="s">
        <v>135</v>
      </c>
      <c r="E28" s="20" t="s">
        <v>39</v>
      </c>
    </row>
    <row r="29" spans="1:5" s="6" customFormat="1" x14ac:dyDescent="0.2">
      <c r="A29" s="19"/>
      <c r="B29" s="16"/>
      <c r="C29" s="17"/>
      <c r="D29" s="18"/>
      <c r="E29" s="18"/>
    </row>
    <row r="30" spans="1:5" s="6" customFormat="1" x14ac:dyDescent="0.2">
      <c r="A30" s="19"/>
      <c r="B30" s="16"/>
      <c r="C30" s="17"/>
      <c r="D30" s="18"/>
      <c r="E30" s="18"/>
    </row>
    <row r="31" spans="1:5" s="6" customFormat="1" ht="12.75" customHeight="1" x14ac:dyDescent="0.2">
      <c r="A31" s="247" t="s">
        <v>40</v>
      </c>
      <c r="B31" s="247"/>
      <c r="C31" s="247"/>
      <c r="D31" s="139"/>
      <c r="E31" s="5"/>
    </row>
    <row r="32" spans="1:5" s="6" customFormat="1" ht="25.5" x14ac:dyDescent="0.2">
      <c r="A32" s="14" t="s">
        <v>16</v>
      </c>
      <c r="B32" s="14" t="s">
        <v>17</v>
      </c>
      <c r="C32" s="14" t="s">
        <v>18</v>
      </c>
      <c r="D32" s="14" t="s">
        <v>19</v>
      </c>
      <c r="E32" s="14" t="s">
        <v>20</v>
      </c>
    </row>
    <row r="33" spans="1:5" s="6" customFormat="1" ht="32.25" customHeight="1" x14ac:dyDescent="0.2">
      <c r="A33" s="9" t="str">
        <f>CONCATENATE(LEFT(A4,3),".1")</f>
        <v>X.1</v>
      </c>
      <c r="B33" s="9" t="s">
        <v>23</v>
      </c>
      <c r="C33" s="20" t="s">
        <v>177</v>
      </c>
      <c r="D33" s="20" t="s">
        <v>134</v>
      </c>
      <c r="E33" s="20" t="s">
        <v>41</v>
      </c>
    </row>
  </sheetData>
  <sheetProtection selectLockedCells="1" selectUnlockedCells="1"/>
  <mergeCells count="5">
    <mergeCell ref="B4:E4"/>
    <mergeCell ref="A19:D19"/>
    <mergeCell ref="A21:C21"/>
    <mergeCell ref="A26:D26"/>
    <mergeCell ref="A31:C31"/>
  </mergeCells>
  <hyperlinks>
    <hyperlink ref="E1" location="'Z01 MR Summary'!A1" display="Back to Zone 01 MR Summary" xr:uid="{00000000-0004-0000-0500-000000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topLeftCell="A4" zoomScaleNormal="100" workbookViewId="0">
      <selection activeCell="H9" sqref="H9"/>
    </sheetView>
  </sheetViews>
  <sheetFormatPr baseColWidth="10" defaultColWidth="11.42578125" defaultRowHeight="12.75" x14ac:dyDescent="0.2"/>
  <cols>
    <col min="1" max="1" width="6.85546875" style="5" customWidth="1"/>
    <col min="2" max="2" width="15.5703125" style="5" customWidth="1"/>
    <col min="3" max="3" width="19.140625" style="5" customWidth="1"/>
    <col min="4" max="4" width="44.28515625" style="5" customWidth="1"/>
    <col min="5" max="5" width="36.7109375" style="5" customWidth="1"/>
    <col min="6" max="6" width="18.28515625" style="6" customWidth="1"/>
    <col min="7" max="16384" width="11.42578125" style="62"/>
  </cols>
  <sheetData>
    <row r="1" spans="1:6" x14ac:dyDescent="0.2">
      <c r="E1" s="28" t="s">
        <v>139</v>
      </c>
    </row>
    <row r="2" spans="1:6" x14ac:dyDescent="0.2">
      <c r="E2" s="28"/>
    </row>
    <row r="3" spans="1:6" ht="24" x14ac:dyDescent="0.2">
      <c r="A3" s="7" t="s">
        <v>16</v>
      </c>
      <c r="B3" s="7" t="s">
        <v>17</v>
      </c>
      <c r="C3" s="7" t="s">
        <v>18</v>
      </c>
      <c r="D3" s="7" t="s">
        <v>19</v>
      </c>
      <c r="E3" s="7" t="s">
        <v>20</v>
      </c>
    </row>
    <row r="4" spans="1:6" ht="12.75" customHeight="1" x14ac:dyDescent="0.2">
      <c r="A4" s="8" t="s">
        <v>21</v>
      </c>
      <c r="B4" s="246" t="s">
        <v>22</v>
      </c>
      <c r="C4" s="246"/>
      <c r="D4" s="246"/>
      <c r="E4" s="246"/>
    </row>
    <row r="5" spans="1:6" s="106" customFormat="1" ht="22.5" customHeight="1" x14ac:dyDescent="0.2">
      <c r="A5" s="10" t="str">
        <f>CONCATENATE(LEFT(A4,3),".1")</f>
        <v>X.1</v>
      </c>
      <c r="B5" s="10" t="s">
        <v>23</v>
      </c>
      <c r="C5" s="104" t="s">
        <v>67</v>
      </c>
      <c r="D5" s="104" t="s">
        <v>24</v>
      </c>
      <c r="E5" s="104" t="s">
        <v>24</v>
      </c>
      <c r="F5" s="105"/>
    </row>
    <row r="6" spans="1:6" ht="127.5" customHeight="1" x14ac:dyDescent="0.2">
      <c r="A6" s="10" t="str">
        <f>CONCATENATE(LEFT(A4,3),".2")</f>
        <v>X.2</v>
      </c>
      <c r="B6" s="10" t="s">
        <v>25</v>
      </c>
      <c r="C6" s="10" t="s">
        <v>48</v>
      </c>
      <c r="D6" s="73" t="s">
        <v>78</v>
      </c>
      <c r="E6" s="11" t="s">
        <v>224</v>
      </c>
    </row>
    <row r="7" spans="1:6" ht="26.25" customHeight="1" x14ac:dyDescent="0.2">
      <c r="A7" s="10" t="str">
        <f>CONCATENATE(LEFT(A4,3),".3")</f>
        <v>X.3</v>
      </c>
      <c r="B7" s="10" t="s">
        <v>121</v>
      </c>
      <c r="C7" s="10" t="s">
        <v>140</v>
      </c>
      <c r="D7" s="12" t="s">
        <v>120</v>
      </c>
      <c r="E7" s="10"/>
    </row>
    <row r="8" spans="1:6" ht="48.75" customHeight="1" x14ac:dyDescent="0.2">
      <c r="A8" s="10" t="str">
        <f>CONCATENATE(LEFT(A4,3),".4")</f>
        <v>X.4</v>
      </c>
      <c r="B8" s="10" t="s">
        <v>221</v>
      </c>
      <c r="C8" s="10" t="s">
        <v>140</v>
      </c>
      <c r="D8" s="10" t="s">
        <v>122</v>
      </c>
      <c r="E8" s="12" t="s">
        <v>225</v>
      </c>
    </row>
    <row r="9" spans="1:6" ht="142.5" customHeight="1" x14ac:dyDescent="0.2">
      <c r="A9" s="10" t="str">
        <f>CONCATENATE(LEFT(A4,3),".5")</f>
        <v>X.5</v>
      </c>
      <c r="B9" s="10" t="s">
        <v>58</v>
      </c>
      <c r="C9" s="183" t="s">
        <v>47</v>
      </c>
      <c r="D9" s="10" t="s">
        <v>203</v>
      </c>
      <c r="E9" s="10" t="s">
        <v>226</v>
      </c>
    </row>
    <row r="10" spans="1:6" ht="48.75" customHeight="1" x14ac:dyDescent="0.2">
      <c r="A10" s="10" t="str">
        <f>CONCATENATE(LEFT(A4,3),".6")</f>
        <v>X.6</v>
      </c>
      <c r="B10" s="10" t="s">
        <v>220</v>
      </c>
      <c r="C10" s="10" t="s">
        <v>140</v>
      </c>
      <c r="D10" s="10" t="s">
        <v>123</v>
      </c>
      <c r="E10" s="12" t="s">
        <v>227</v>
      </c>
    </row>
    <row r="11" spans="1:6" ht="26.25" customHeight="1" x14ac:dyDescent="0.2">
      <c r="A11" s="10" t="str">
        <f>CONCATENATE(LEFT(A4,3),".7")</f>
        <v>X.7</v>
      </c>
      <c r="B11" s="10" t="s">
        <v>73</v>
      </c>
      <c r="C11" s="10" t="s">
        <v>74</v>
      </c>
      <c r="D11" s="10" t="s">
        <v>204</v>
      </c>
      <c r="E11" s="10"/>
    </row>
    <row r="12" spans="1:6" ht="120" customHeight="1" x14ac:dyDescent="0.2">
      <c r="A12" s="10" t="str">
        <f>CONCATENATE(LEFT(A4,3),".8")</f>
        <v>X.8</v>
      </c>
      <c r="B12" s="10" t="s">
        <v>77</v>
      </c>
      <c r="C12" s="10" t="s">
        <v>28</v>
      </c>
      <c r="D12" s="10" t="s">
        <v>29</v>
      </c>
      <c r="E12" s="10" t="s">
        <v>228</v>
      </c>
    </row>
    <row r="13" spans="1:6" ht="32.25" customHeight="1" x14ac:dyDescent="0.2">
      <c r="A13" s="10" t="str">
        <f>CONCATENATE(LEFT(A4,3),".9")</f>
        <v>X.9</v>
      </c>
      <c r="B13" s="10" t="s">
        <v>30</v>
      </c>
      <c r="C13" s="10" t="s">
        <v>28</v>
      </c>
      <c r="D13" s="10" t="s">
        <v>31</v>
      </c>
      <c r="E13" s="10" t="s">
        <v>32</v>
      </c>
    </row>
    <row r="14" spans="1:6" ht="27.75" customHeight="1" x14ac:dyDescent="0.2">
      <c r="A14" s="10" t="str">
        <f>CONCATENATE(LEFT(A4,3),".10")</f>
        <v>X.10</v>
      </c>
      <c r="B14" s="10" t="s">
        <v>33</v>
      </c>
      <c r="C14" s="10" t="s">
        <v>34</v>
      </c>
      <c r="D14" s="10" t="s">
        <v>76</v>
      </c>
      <c r="E14" s="10"/>
    </row>
    <row r="17" spans="1:5" ht="12.75" customHeight="1" x14ac:dyDescent="0.2"/>
    <row r="18" spans="1:5" ht="12.75" customHeight="1" x14ac:dyDescent="0.2">
      <c r="A18" s="248" t="s">
        <v>60</v>
      </c>
      <c r="B18" s="248"/>
      <c r="C18" s="248"/>
      <c r="D18" s="248"/>
    </row>
    <row r="19" spans="1:5" ht="12.75" customHeight="1" x14ac:dyDescent="0.2">
      <c r="A19" s="13"/>
      <c r="B19" s="13"/>
      <c r="C19" s="13"/>
    </row>
    <row r="20" spans="1:5" ht="12.75" customHeight="1" x14ac:dyDescent="0.2">
      <c r="A20" s="247" t="s">
        <v>35</v>
      </c>
      <c r="B20" s="247"/>
      <c r="C20" s="247"/>
      <c r="D20" s="139"/>
    </row>
    <row r="21" spans="1:5" ht="25.5" customHeight="1" x14ac:dyDescent="0.2">
      <c r="A21" s="14" t="s">
        <v>16</v>
      </c>
      <c r="B21" s="14" t="s">
        <v>17</v>
      </c>
      <c r="C21" s="14" t="s">
        <v>18</v>
      </c>
      <c r="D21" s="14" t="s">
        <v>19</v>
      </c>
      <c r="E21" s="14" t="s">
        <v>20</v>
      </c>
    </row>
    <row r="22" spans="1:5" ht="18.75" customHeight="1" x14ac:dyDescent="0.2">
      <c r="A22" s="9" t="str">
        <f>CONCATENATE(LEFT(A4,3),".1")</f>
        <v>X.1</v>
      </c>
      <c r="B22" s="9" t="s">
        <v>23</v>
      </c>
      <c r="C22" s="15" t="s">
        <v>136</v>
      </c>
      <c r="D22" s="15" t="s">
        <v>36</v>
      </c>
      <c r="E22" s="15" t="s">
        <v>37</v>
      </c>
    </row>
    <row r="23" spans="1:5" ht="12.75" customHeight="1" x14ac:dyDescent="0.2">
      <c r="A23" s="13"/>
      <c r="B23" s="13"/>
      <c r="C23" s="13"/>
    </row>
    <row r="25" spans="1:5" ht="12.75" customHeight="1" x14ac:dyDescent="0.2">
      <c r="A25" s="247" t="s">
        <v>38</v>
      </c>
      <c r="B25" s="247"/>
      <c r="C25" s="247"/>
      <c r="D25" s="247"/>
    </row>
    <row r="26" spans="1:5" ht="27.75" customHeight="1" x14ac:dyDescent="0.2">
      <c r="A26" s="14" t="s">
        <v>16</v>
      </c>
      <c r="B26" s="14" t="s">
        <v>17</v>
      </c>
      <c r="C26" s="14" t="s">
        <v>18</v>
      </c>
      <c r="D26" s="14" t="s">
        <v>19</v>
      </c>
      <c r="E26" s="14" t="s">
        <v>20</v>
      </c>
    </row>
    <row r="27" spans="1:5" ht="31.5" customHeight="1" x14ac:dyDescent="0.2">
      <c r="A27" s="9" t="str">
        <f>CONCATENATE(LEFT(A4,3),".1")</f>
        <v>X.1</v>
      </c>
      <c r="B27" s="9" t="s">
        <v>23</v>
      </c>
      <c r="C27" s="20" t="s">
        <v>138</v>
      </c>
      <c r="D27" s="15" t="s">
        <v>135</v>
      </c>
      <c r="E27" s="144" t="s">
        <v>39</v>
      </c>
    </row>
    <row r="28" spans="1:5" x14ac:dyDescent="0.2">
      <c r="A28" s="19"/>
      <c r="B28" s="16"/>
      <c r="C28" s="17"/>
      <c r="D28" s="18"/>
      <c r="E28" s="18"/>
    </row>
    <row r="29" spans="1:5" x14ac:dyDescent="0.2">
      <c r="A29" s="19"/>
      <c r="B29" s="16"/>
      <c r="C29" s="17"/>
      <c r="D29" s="18"/>
      <c r="E29" s="18"/>
    </row>
    <row r="30" spans="1:5" ht="12.75" customHeight="1" x14ac:dyDescent="0.2">
      <c r="A30" s="247" t="s">
        <v>40</v>
      </c>
      <c r="B30" s="247"/>
      <c r="C30" s="247"/>
      <c r="D30" s="139"/>
    </row>
    <row r="31" spans="1:5" ht="25.5" x14ac:dyDescent="0.2">
      <c r="A31" s="14" t="s">
        <v>16</v>
      </c>
      <c r="B31" s="14" t="s">
        <v>17</v>
      </c>
      <c r="C31" s="14" t="s">
        <v>18</v>
      </c>
      <c r="D31" s="14" t="s">
        <v>19</v>
      </c>
      <c r="E31" s="14" t="s">
        <v>20</v>
      </c>
    </row>
    <row r="32" spans="1:5" ht="32.25" customHeight="1" x14ac:dyDescent="0.2">
      <c r="A32" s="9" t="str">
        <f>CONCATENATE(LEFT(A4,3),".1")</f>
        <v>X.1</v>
      </c>
      <c r="B32" s="9" t="s">
        <v>23</v>
      </c>
      <c r="C32" s="20" t="s">
        <v>182</v>
      </c>
      <c r="D32" s="20" t="s">
        <v>137</v>
      </c>
      <c r="E32" s="20" t="s">
        <v>41</v>
      </c>
    </row>
  </sheetData>
  <sheetProtection selectLockedCells="1" selectUnlockedCells="1"/>
  <mergeCells count="5">
    <mergeCell ref="B4:E4"/>
    <mergeCell ref="A18:D18"/>
    <mergeCell ref="A20:C20"/>
    <mergeCell ref="A25:D25"/>
    <mergeCell ref="A30:C30"/>
  </mergeCells>
  <hyperlinks>
    <hyperlink ref="E1" location="'Z13 MCC Summary'!A1" display="Back to Zone 13 MCC Summary" xr:uid="{00000000-0004-0000-0600-000000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18"/>
  <sheetViews>
    <sheetView workbookViewId="0"/>
  </sheetViews>
  <sheetFormatPr baseColWidth="10" defaultColWidth="11.42578125" defaultRowHeight="12.75" x14ac:dyDescent="0.2"/>
  <sheetData>
    <row r="2" spans="1:9" ht="18" x14ac:dyDescent="0.25">
      <c r="I2" s="55" t="s">
        <v>52</v>
      </c>
    </row>
    <row r="8" spans="1:9" x14ac:dyDescent="0.2">
      <c r="A8" s="21"/>
      <c r="B8" s="21"/>
      <c r="C8" s="21"/>
      <c r="D8" s="21"/>
    </row>
    <row r="9" spans="1:9" x14ac:dyDescent="0.2">
      <c r="A9" s="21"/>
      <c r="B9" s="21" t="s">
        <v>42</v>
      </c>
      <c r="C9" s="21" t="s">
        <v>43</v>
      </c>
      <c r="D9" s="21"/>
    </row>
    <row r="10" spans="1:9" x14ac:dyDescent="0.2">
      <c r="A10" s="21"/>
      <c r="B10" s="21">
        <v>0</v>
      </c>
      <c r="C10" s="21">
        <v>0</v>
      </c>
      <c r="D10" s="21"/>
    </row>
    <row r="11" spans="1:9" x14ac:dyDescent="0.2">
      <c r="A11" s="21"/>
      <c r="B11" s="21">
        <v>5</v>
      </c>
      <c r="C11" s="21">
        <v>500</v>
      </c>
      <c r="D11" s="21"/>
    </row>
    <row r="12" spans="1:9" x14ac:dyDescent="0.2">
      <c r="A12" s="21">
        <v>5</v>
      </c>
      <c r="B12" s="21">
        <v>10</v>
      </c>
      <c r="C12" s="21">
        <v>500</v>
      </c>
      <c r="D12" s="21"/>
    </row>
    <row r="13" spans="1:9" x14ac:dyDescent="0.2">
      <c r="A13" s="21">
        <v>15</v>
      </c>
      <c r="B13" s="21">
        <v>25</v>
      </c>
      <c r="C13" s="21">
        <v>2000</v>
      </c>
      <c r="D13" s="21"/>
    </row>
    <row r="14" spans="1:9" x14ac:dyDescent="0.2">
      <c r="A14" s="21">
        <v>40</v>
      </c>
      <c r="B14" s="21">
        <v>65</v>
      </c>
      <c r="C14" s="21">
        <v>2000</v>
      </c>
      <c r="D14" s="21"/>
    </row>
    <row r="15" spans="1:9" x14ac:dyDescent="0.2">
      <c r="A15" s="21">
        <v>1</v>
      </c>
      <c r="B15" s="21">
        <v>66</v>
      </c>
      <c r="C15" s="21">
        <v>3000</v>
      </c>
      <c r="D15" s="21"/>
    </row>
    <row r="16" spans="1:9" x14ac:dyDescent="0.2">
      <c r="A16" s="21">
        <v>1</v>
      </c>
      <c r="B16" s="21">
        <v>67</v>
      </c>
      <c r="C16" s="21">
        <v>2000</v>
      </c>
      <c r="D16" s="21"/>
    </row>
    <row r="17" spans="1:4" x14ac:dyDescent="0.2">
      <c r="A17" s="21">
        <v>5</v>
      </c>
      <c r="B17" s="21">
        <v>72</v>
      </c>
      <c r="C17" s="21">
        <v>2000</v>
      </c>
      <c r="D17" s="21"/>
    </row>
    <row r="18" spans="1:4" x14ac:dyDescent="0.2">
      <c r="A18" s="21">
        <v>20</v>
      </c>
      <c r="B18" s="21">
        <v>92</v>
      </c>
      <c r="C18" s="21">
        <v>0</v>
      </c>
      <c r="D18" s="21"/>
    </row>
  </sheetData>
  <sheetProtection selectLockedCells="1" selectUnlockedCells="1"/>
  <hyperlinks>
    <hyperlink ref="I2" location="Home!A5" display="Home" xr:uid="{00000000-0004-0000-0700-000000000000}"/>
  </hyperlinks>
  <pageMargins left="0.7" right="0.7" top="0.75" bottom="0.75"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
  <sheetViews>
    <sheetView workbookViewId="0">
      <selection activeCell="K14" sqref="K14"/>
    </sheetView>
  </sheetViews>
  <sheetFormatPr baseColWidth="10" defaultColWidth="11.42578125" defaultRowHeight="12.75" x14ac:dyDescent="0.2"/>
  <cols>
    <col min="1" max="1" width="15" style="62" customWidth="1"/>
    <col min="2" max="2" width="15.42578125" style="62" customWidth="1"/>
    <col min="3" max="5" width="15" style="62" customWidth="1"/>
    <col min="6" max="16384" width="11.42578125" style="62"/>
  </cols>
  <sheetData>
    <row r="1" spans="1:8" ht="18" x14ac:dyDescent="0.25">
      <c r="A1" s="22" t="s">
        <v>130</v>
      </c>
      <c r="E1" s="55" t="s">
        <v>52</v>
      </c>
    </row>
    <row r="2" spans="1:8" ht="39.75" x14ac:dyDescent="0.2">
      <c r="A2" s="75" t="s">
        <v>44</v>
      </c>
      <c r="B2" s="75" t="s">
        <v>45</v>
      </c>
      <c r="C2" s="75"/>
      <c r="D2" s="75" t="s">
        <v>45</v>
      </c>
      <c r="E2" s="75" t="s">
        <v>46</v>
      </c>
      <c r="F2" s="75" t="s">
        <v>114</v>
      </c>
      <c r="G2" s="75" t="s">
        <v>116</v>
      </c>
      <c r="H2" s="75" t="s">
        <v>118</v>
      </c>
    </row>
    <row r="3" spans="1:8" x14ac:dyDescent="0.2">
      <c r="A3" s="75">
        <v>1000</v>
      </c>
      <c r="B3" s="75">
        <v>80</v>
      </c>
      <c r="C3" s="75"/>
      <c r="D3" s="75">
        <v>10</v>
      </c>
      <c r="E3" s="75">
        <v>200</v>
      </c>
      <c r="F3" s="75">
        <v>3</v>
      </c>
      <c r="G3" s="75">
        <v>2</v>
      </c>
      <c r="H3" s="75">
        <v>3</v>
      </c>
    </row>
    <row r="4" spans="1:8" ht="12.75" customHeight="1" x14ac:dyDescent="0.2">
      <c r="A4" s="23">
        <v>2000</v>
      </c>
      <c r="B4" s="23">
        <v>39</v>
      </c>
      <c r="C4" s="23"/>
      <c r="D4" s="23">
        <v>4</v>
      </c>
      <c r="E4" s="126">
        <v>100</v>
      </c>
      <c r="F4" s="23">
        <v>2</v>
      </c>
      <c r="G4" s="23">
        <v>1</v>
      </c>
      <c r="H4" s="23">
        <v>1</v>
      </c>
    </row>
    <row r="5" spans="1:8" ht="12.75" customHeight="1" x14ac:dyDescent="0.2">
      <c r="A5" s="23">
        <v>3000</v>
      </c>
      <c r="B5" s="23">
        <v>27</v>
      </c>
      <c r="C5" s="23"/>
      <c r="D5" s="23"/>
      <c r="E5" s="126"/>
    </row>
    <row r="6" spans="1:8" x14ac:dyDescent="0.2">
      <c r="A6" s="23">
        <v>4000</v>
      </c>
      <c r="B6" s="23">
        <v>19</v>
      </c>
      <c r="C6" s="23"/>
      <c r="D6" s="23"/>
      <c r="E6" s="126"/>
    </row>
    <row r="7" spans="1:8" x14ac:dyDescent="0.2">
      <c r="A7" s="23">
        <v>5000</v>
      </c>
      <c r="B7" s="23">
        <v>16</v>
      </c>
      <c r="C7" s="23"/>
      <c r="D7" s="23"/>
      <c r="E7" s="23"/>
    </row>
    <row r="8" spans="1:8" x14ac:dyDescent="0.2">
      <c r="A8" s="23"/>
      <c r="B8" s="23"/>
      <c r="C8" s="23"/>
      <c r="D8" s="23"/>
      <c r="E8" s="23"/>
    </row>
    <row r="12" spans="1:8" ht="38.25" x14ac:dyDescent="0.2">
      <c r="A12" s="76"/>
      <c r="B12" s="117" t="s">
        <v>81</v>
      </c>
      <c r="C12" s="117" t="s">
        <v>44</v>
      </c>
      <c r="D12" s="117" t="s">
        <v>80</v>
      </c>
      <c r="E12" s="117" t="s">
        <v>115</v>
      </c>
      <c r="F12" s="117" t="s">
        <v>117</v>
      </c>
      <c r="G12" s="117" t="s">
        <v>119</v>
      </c>
    </row>
    <row r="13" spans="1:8" x14ac:dyDescent="0.2">
      <c r="A13" s="137" t="s">
        <v>50</v>
      </c>
      <c r="B13" s="74">
        <f>'Z01 MR Summary'!F6</f>
        <v>50</v>
      </c>
      <c r="C13" s="2">
        <f>(B13/84365)^(-1/1.008)</f>
        <v>1590.6684572694592</v>
      </c>
      <c r="D13" s="2">
        <f>B13*5+200</f>
        <v>450</v>
      </c>
      <c r="E13" s="129">
        <f>B13*0.0625+3.75</f>
        <v>6.875</v>
      </c>
      <c r="F13" s="129">
        <f>B13*0.0625+3.75</f>
        <v>6.875</v>
      </c>
      <c r="G13" s="129">
        <f>B13*0.0375+2.25</f>
        <v>4.125</v>
      </c>
    </row>
    <row r="14" spans="1:8" x14ac:dyDescent="0.2">
      <c r="A14" s="137"/>
      <c r="B14" s="128"/>
      <c r="C14" s="2"/>
      <c r="D14" s="2"/>
    </row>
    <row r="15" spans="1:8" x14ac:dyDescent="0.2">
      <c r="A15" s="78"/>
      <c r="B15" s="79"/>
      <c r="C15" s="31"/>
    </row>
    <row r="16" spans="1:8" x14ac:dyDescent="0.2">
      <c r="A16" s="137"/>
      <c r="B16" s="137"/>
    </row>
    <row r="17" spans="1:5" x14ac:dyDescent="0.2">
      <c r="A17" s="137"/>
      <c r="B17" s="137"/>
    </row>
    <row r="18" spans="1:5" ht="18" x14ac:dyDescent="0.25">
      <c r="D18" s="55"/>
    </row>
    <row r="20" spans="1:5" x14ac:dyDescent="0.2">
      <c r="E20" s="28"/>
    </row>
  </sheetData>
  <hyperlinks>
    <hyperlink ref="B13" location="Z01Summary!G6" display="Z01Summary!G6" xr:uid="{00000000-0004-0000-0800-000000000000}"/>
    <hyperlink ref="E1" location="Home!A5" display="Home" xr:uid="{00000000-0004-0000-0800-000001000000}"/>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vt:i4>
      </vt:variant>
    </vt:vector>
  </HeadingPairs>
  <TitlesOfParts>
    <vt:vector size="23" baseType="lpstr">
      <vt:lpstr>Home</vt:lpstr>
      <vt:lpstr>Z01 MR Summary</vt:lpstr>
      <vt:lpstr>Gersteltec GM Summary</vt:lpstr>
      <vt:lpstr>Gersteltec GM Runcard</vt:lpstr>
      <vt:lpstr>MicroChem 3000 Summary</vt:lpstr>
      <vt:lpstr>MR Runcard</vt:lpstr>
      <vt:lpstr>MicroChem 3000 Runcard</vt:lpstr>
      <vt:lpstr>Spin graph</vt:lpstr>
      <vt:lpstr>Results mr-DWL-40</vt:lpstr>
      <vt:lpstr>Results mr-DWL-5</vt:lpstr>
      <vt:lpstr>Results Su8 3005</vt:lpstr>
      <vt:lpstr>Results Su8 3010</vt:lpstr>
      <vt:lpstr>Results Su8 3025</vt:lpstr>
      <vt:lpstr>Results Su8 3035</vt:lpstr>
      <vt:lpstr>Results Su8 3050</vt:lpstr>
      <vt:lpstr>Results GM 1040</vt:lpstr>
      <vt:lpstr>Results GM 1050</vt:lpstr>
      <vt:lpstr>Results GM 1060</vt:lpstr>
      <vt:lpstr>Results GM 1070</vt:lpstr>
      <vt:lpstr>Results GM 1075</vt:lpstr>
      <vt:lpstr>Troubleshoot</vt:lpstr>
      <vt:lpstr>Liste_Equipement</vt:lpstr>
      <vt:lpstr>Liste_Equipement2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Racine Georges-André</dc:creator>
  <cp:lastModifiedBy>Racine Georges-André</cp:lastModifiedBy>
  <cp:lastPrinted>2012-07-04T12:48:12Z</cp:lastPrinted>
  <dcterms:created xsi:type="dcterms:W3CDTF">2012-07-04T12:51:46Z</dcterms:created>
  <dcterms:modified xsi:type="dcterms:W3CDTF">2022-02-03T11:50:11Z</dcterms:modified>
</cp:coreProperties>
</file>