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urat\Dropbox\Pavan Group\Protocols\"/>
    </mc:Choice>
  </mc:AlternateContent>
  <bookViews>
    <workbookView xWindow="0" yWindow="0" windowWidth="23040" windowHeight="9225" tabRatio="851" activeTab="6"/>
  </bookViews>
  <sheets>
    <sheet name="Home" sheetId="23" r:id="rId1"/>
    <sheet name="Z01 MR Summary" sheetId="33" state="hidden" r:id="rId2"/>
    <sheet name="V-shape Implants" sheetId="20" r:id="rId3"/>
    <sheet name="Molds for V-shape implants" sheetId="38" r:id="rId4"/>
    <sheet name="Numbered Windows" sheetId="26" r:id="rId5"/>
    <sheet name="MR Runcard" sheetId="35" state="hidden" r:id="rId6"/>
    <sheet name="Remounting stage" sheetId="37" r:id="rId7"/>
    <sheet name="Spin graph" sheetId="3" r:id="rId8"/>
    <sheet name="Results mr-DWL-40" sheetId="36" state="hidden" r:id="rId9"/>
    <sheet name="Results mr-DWL-5" sheetId="34" state="hidden" r:id="rId10"/>
    <sheet name="Results Su8 3005" sheetId="27" state="hidden" r:id="rId11"/>
    <sheet name="Results Su8 3010" sheetId="28" state="hidden" r:id="rId12"/>
    <sheet name="Results Su8 3025" sheetId="31" state="hidden" r:id="rId13"/>
    <sheet name="Results Su8 3035" sheetId="29" state="hidden" r:id="rId14"/>
    <sheet name="Results Su8 3050" sheetId="32" state="hidden" r:id="rId15"/>
    <sheet name="Results GM 1040" sheetId="4" state="hidden" r:id="rId16"/>
    <sheet name="Results GM 1050" sheetId="7" state="hidden" r:id="rId17"/>
    <sheet name="Results GM 1060" sheetId="10" state="hidden" r:id="rId18"/>
    <sheet name="Results GM 1070" sheetId="13" state="hidden" r:id="rId19"/>
    <sheet name="Results GM 1075" sheetId="16" state="hidden" r:id="rId20"/>
  </sheets>
  <definedNames>
    <definedName name="Liste_Equipement">'V-shape Implants'!$L$12:$L$19</definedName>
    <definedName name="Liste_Equipement2">'Numbered Windows'!$K$10:$K$13</definedName>
  </definedNames>
  <calcPr calcId="162913"/>
  <webPublishObjects count="1">
    <webPublishObject id="29768" divId="Runcard_SU8_Z13_V2012_1_29768" destinationFile="C:\Users\racine\Documents\CMI_synchro\Docs en suspent\Runcard_SU8_Z13_V2012_1.mht" title="SAWATEC_Z13_ProcessSU8"/>
  </webPublishObjects>
</workbook>
</file>

<file path=xl/calcChain.xml><?xml version="1.0" encoding="utf-8"?>
<calcChain xmlns="http://schemas.openxmlformats.org/spreadsheetml/2006/main">
  <c r="B12" i="16" l="1"/>
  <c r="B12" i="13"/>
  <c r="B12" i="10"/>
  <c r="B12" i="4"/>
  <c r="B12" i="7"/>
  <c r="A15" i="35" l="1"/>
  <c r="A14" i="35"/>
  <c r="A13" i="35"/>
  <c r="A12" i="35"/>
  <c r="A11" i="35"/>
  <c r="A10" i="35"/>
  <c r="A9" i="35"/>
  <c r="A8" i="35"/>
  <c r="A33" i="35"/>
  <c r="A28" i="35"/>
  <c r="A23" i="35"/>
  <c r="B13" i="36"/>
  <c r="G13" i="36" s="1"/>
  <c r="A7" i="35"/>
  <c r="A6" i="35"/>
  <c r="A5" i="35"/>
  <c r="B13" i="34"/>
  <c r="G13" i="34" s="1"/>
  <c r="F13" i="34" l="1"/>
  <c r="D13" i="34"/>
  <c r="D13" i="36"/>
  <c r="F13" i="36"/>
  <c r="E13" i="36"/>
  <c r="C13" i="36"/>
  <c r="C13" i="34"/>
  <c r="E13" i="34"/>
  <c r="B13" i="32"/>
  <c r="D13" i="32" s="1"/>
  <c r="B13" i="31"/>
  <c r="D13" i="31" s="1"/>
  <c r="B13" i="29"/>
  <c r="D13" i="29" s="1"/>
  <c r="B13" i="28"/>
  <c r="D13" i="28" s="1"/>
  <c r="B13" i="27"/>
  <c r="E13" i="27" s="1"/>
  <c r="G41" i="33" l="1"/>
  <c r="G33" i="33"/>
  <c r="G37" i="33"/>
  <c r="F41" i="33"/>
  <c r="F37" i="33"/>
  <c r="F18" i="33"/>
  <c r="F33" i="33"/>
  <c r="G18" i="33"/>
  <c r="G27" i="33"/>
  <c r="G13" i="32"/>
  <c r="G13" i="29"/>
  <c r="G13" i="31"/>
  <c r="G13" i="28"/>
  <c r="G13" i="27"/>
  <c r="F13" i="27"/>
  <c r="F13" i="28"/>
  <c r="F13" i="31"/>
  <c r="F13" i="29"/>
  <c r="E13" i="32"/>
  <c r="F13" i="32"/>
  <c r="E13" i="29"/>
  <c r="E13" i="28"/>
  <c r="E13" i="31"/>
  <c r="D13" i="27"/>
  <c r="C13" i="32"/>
  <c r="C13" i="29"/>
  <c r="C13" i="31"/>
  <c r="C13" i="28"/>
  <c r="C13" i="27"/>
  <c r="E4" i="13"/>
  <c r="E3" i="13"/>
  <c r="E4" i="10"/>
  <c r="E3" i="10"/>
  <c r="D12" i="16" l="1"/>
  <c r="B11" i="16"/>
  <c r="D11" i="16" s="1"/>
  <c r="D12" i="13"/>
  <c r="B11" i="13"/>
  <c r="D11" i="13" s="1"/>
  <c r="B11" i="10"/>
  <c r="D11" i="10" s="1"/>
  <c r="D12" i="7"/>
  <c r="D12" i="4"/>
  <c r="C12" i="16" l="1"/>
  <c r="C11" i="16"/>
  <c r="C12" i="10"/>
  <c r="D12" i="10"/>
  <c r="C11" i="10"/>
  <c r="C12" i="7"/>
  <c r="C12" i="13"/>
  <c r="B11" i="7"/>
  <c r="D11" i="7" s="1"/>
  <c r="B11" i="4"/>
  <c r="D11" i="4" s="1"/>
  <c r="C11" i="7" l="1"/>
  <c r="C11" i="4"/>
  <c r="C12" i="4"/>
  <c r="C11" i="13" l="1"/>
</calcChain>
</file>

<file path=xl/sharedStrings.xml><?xml version="1.0" encoding="utf-8"?>
<sst xmlns="http://schemas.openxmlformats.org/spreadsheetml/2006/main" count="465" uniqueCount="240">
  <si>
    <t>Wafer Prep</t>
  </si>
  <si>
    <t>GM 1040</t>
  </si>
  <si>
    <t>GM 1050</t>
  </si>
  <si>
    <t>GM 1060</t>
  </si>
  <si>
    <t>GM 1070</t>
  </si>
  <si>
    <t>GM 1075</t>
  </si>
  <si>
    <t>Spin Coat</t>
  </si>
  <si>
    <t>Velocity profile</t>
  </si>
  <si>
    <t>[rpm]</t>
  </si>
  <si>
    <t>Soft Bake</t>
  </si>
  <si>
    <t>Exposure dose</t>
  </si>
  <si>
    <t>Expose</t>
  </si>
  <si>
    <r>
      <t>[mJ/cm</t>
    </r>
    <r>
      <rPr>
        <vertAlign val="superscript"/>
        <sz val="10"/>
        <rFont val="Arial"/>
        <family val="2"/>
      </rPr>
      <t>2</t>
    </r>
    <r>
      <rPr>
        <sz val="10"/>
        <rFont val="Arial"/>
        <family val="2"/>
      </rPr>
      <t>]</t>
    </r>
  </si>
  <si>
    <t>Post Exposure Bake</t>
  </si>
  <si>
    <t>Develop</t>
  </si>
  <si>
    <t>(Optional) Hard Bake</t>
  </si>
  <si>
    <t>Step N°</t>
  </si>
  <si>
    <t>Description</t>
  </si>
  <si>
    <t>Equipment</t>
  </si>
  <si>
    <t>Program / Parameters</t>
  </si>
  <si>
    <t>Remarks</t>
  </si>
  <si>
    <t>X</t>
  </si>
  <si>
    <t>PHOTOLITHOGRAPHY</t>
  </si>
  <si>
    <t>Wafer preparation</t>
  </si>
  <si>
    <t>*</t>
  </si>
  <si>
    <t>Coating</t>
  </si>
  <si>
    <t>Softbake</t>
  </si>
  <si>
    <t>Post-exposure bake</t>
  </si>
  <si>
    <t>PGMEA development in two separate baths</t>
  </si>
  <si>
    <t>Rinse</t>
  </si>
  <si>
    <t>Isopropanol</t>
  </si>
  <si>
    <t>1 min</t>
  </si>
  <si>
    <t>Inspection</t>
  </si>
  <si>
    <t>Si and any other material not listed below</t>
  </si>
  <si>
    <t>7 min</t>
  </si>
  <si>
    <t>Metallic layers (in case the oxydation of the metallic layer may be a problem)</t>
  </si>
  <si>
    <t>Only dehydration
No HMDS !!!</t>
  </si>
  <si>
    <t>Pyrex or Float glass</t>
  </si>
  <si>
    <t>Highly recommended
7 min</t>
  </si>
  <si>
    <t>x</t>
  </si>
  <si>
    <t>y</t>
  </si>
  <si>
    <t>Spin speed
[rpm]</t>
  </si>
  <si>
    <t>Film Thickness
[um]</t>
  </si>
  <si>
    <r>
      <t>Typical exposure dose
[mJ/cm</t>
    </r>
    <r>
      <rPr>
        <vertAlign val="superscript"/>
        <sz val="10"/>
        <rFont val="Arial"/>
        <family val="2"/>
      </rPr>
      <t>2</t>
    </r>
    <r>
      <rPr>
        <sz val="10"/>
        <rFont val="Arial"/>
        <family val="2"/>
      </rPr>
      <t>]</t>
    </r>
  </si>
  <si>
    <t>Zone 01</t>
  </si>
  <si>
    <t>Zone 13</t>
  </si>
  <si>
    <t>Home</t>
  </si>
  <si>
    <t>a) Enter targeted thickness [µm]:</t>
  </si>
  <si>
    <t>Spin speed</t>
  </si>
  <si>
    <t>b) Available product: choose from the rows marked with green</t>
  </si>
  <si>
    <t>c) Use parameters from table</t>
  </si>
  <si>
    <t>Exposure</t>
  </si>
  <si>
    <t>* Necessary preparation depends on the substrate; see table below.</t>
  </si>
  <si>
    <t>Develop time [min]</t>
  </si>
  <si>
    <t>* See below</t>
  </si>
  <si>
    <t>Note: development upside down is highly recommended. Use two beakers for proper rinsing of substrate. Time in PGMEA should be minimized.</t>
  </si>
  <si>
    <t>Note: recommended dose is for general use on Si substrates. For high aspect ratio, decrease dose with up to 15%. For stress sensitive large areas, increase dose with up to 15%. For float glass substrates, increase dose with 40%.</t>
  </si>
  <si>
    <t>Relaxation delay</t>
  </si>
  <si>
    <t>Wafer storage box</t>
  </si>
  <si>
    <t>From one hour to overnight, depending on thickness</t>
  </si>
  <si>
    <t>Check for residues, resolution and alignment</t>
  </si>
  <si>
    <t>Development</t>
  </si>
  <si>
    <t>Segment 1: Time: 5s / Speed: 500rpm
Segment 2: Time: 5s / Speed: 500rpm
Segment 3: Time: ((X-500)/100)s / Speed: Xrpm
Segment 4: Time: 40s / Speed: Xrpm
Segment 5: Time: 1s / Speed: X+1000rpm
Segment 6: Time: 1s / Speed: Xrpm
Segment 7: Time: 5s / Speed: Xrpm
Segment 8: Time: (X/100)s / Speed: 0rpm
Segment 9 -&gt; 24: Time: 0s / Speed: 0rpm</t>
  </si>
  <si>
    <r>
      <t>Exposure dose
[mJ/cm</t>
    </r>
    <r>
      <rPr>
        <b/>
        <vertAlign val="superscript"/>
        <sz val="10"/>
        <rFont val="Arial"/>
        <family val="2"/>
      </rPr>
      <t>2</t>
    </r>
    <r>
      <rPr>
        <b/>
        <sz val="10"/>
        <rFont val="Arial"/>
        <family val="2"/>
      </rPr>
      <t>]</t>
    </r>
  </si>
  <si>
    <t>Target thickness
[um]</t>
  </si>
  <si>
    <t>Troubleshooting guidelines</t>
  </si>
  <si>
    <t>MCC 3005</t>
  </si>
  <si>
    <t>MCC 3010</t>
  </si>
  <si>
    <t>MCC 3025</t>
  </si>
  <si>
    <t>MCC 3035</t>
  </si>
  <si>
    <t>MCC 3050</t>
  </si>
  <si>
    <t>Softbake Time</t>
  </si>
  <si>
    <t>Softbake time [min]</t>
  </si>
  <si>
    <t>PEB Time</t>
  </si>
  <si>
    <t>PEB time [min]</t>
  </si>
  <si>
    <t>Dev time</t>
  </si>
  <si>
    <t>Dev time [min]</t>
  </si>
  <si>
    <t>Relaxation time</t>
  </si>
  <si>
    <t>MicroResist mr-DWL Process Parameters</t>
  </si>
  <si>
    <t>mr-DWL-5</t>
  </si>
  <si>
    <t>mr-DWL-40</t>
  </si>
  <si>
    <t>mr-DWL-05</t>
  </si>
  <si>
    <t>Step time @ 50°C [min]</t>
  </si>
  <si>
    <t>Step time @ 135°C [min]</t>
  </si>
  <si>
    <t>Prog. PR_strip_high_7min</t>
  </si>
  <si>
    <t xml:space="preserve">
Prog. PR_strip_high_7min</t>
  </si>
  <si>
    <t>20 min / 150°C</t>
  </si>
  <si>
    <t>Step time @ 90°C [min]</t>
  </si>
  <si>
    <t>Step time @ 85°C [min]</t>
  </si>
  <si>
    <t xml:space="preserve">Z1 / Hotplate </t>
  </si>
  <si>
    <t>Z1 / Plade Solvent Wet Bench</t>
  </si>
  <si>
    <t>Z1 / uScope</t>
  </si>
  <si>
    <t>Z1/ Plade Solvent Wet Bench</t>
  </si>
  <si>
    <t>Process: Mask-less Lithography
Mode: High quality
Dose : X
Defocus : Y</t>
  </si>
  <si>
    <t xml:space="preserve">PEB @ 50°C for X minutes
PEB @ 85°C for Y minutes
</t>
  </si>
  <si>
    <t>Edge Bead Removal (EBR)</t>
  </si>
  <si>
    <t>Segment 1: Time: 300s / Speed: 500rpm</t>
  </si>
  <si>
    <t>http://microresist.de/en/product/negative-photoresists-2</t>
  </si>
  <si>
    <t>Note: Thickness from 3 um to 100 um</t>
  </si>
  <si>
    <t>Softbake time</t>
  </si>
  <si>
    <t>PEB time</t>
  </si>
  <si>
    <t>Develop time</t>
  </si>
  <si>
    <t>Hard bake time</t>
  </si>
  <si>
    <t>Note: 135°C</t>
  </si>
  <si>
    <t>LSM200 &amp; LSM250</t>
  </si>
  <si>
    <t>Note: MLA150: laser emitting @ 405 nm! For exposure of mr-DWL layers on the MLA150, an edge bead removal is mandatory!</t>
  </si>
  <si>
    <r>
      <t>Use the "CMISTART" recipe.
X is the spinning speed to achieve the desired thickness.
Use the "</t>
    </r>
    <r>
      <rPr>
        <b/>
        <sz val="9"/>
        <rFont val="Arial"/>
        <family val="2"/>
      </rPr>
      <t>Z01 MR Summary</t>
    </r>
    <r>
      <rPr>
        <sz val="9"/>
        <rFont val="Arial"/>
        <family val="2"/>
      </rPr>
      <t>" sheet to determine X.</t>
    </r>
  </si>
  <si>
    <t>Back to Z01 MR Summary</t>
  </si>
  <si>
    <r>
      <t>X is the optimal exposure dose.
Y is the optimal defocus.
Use the "</t>
    </r>
    <r>
      <rPr>
        <b/>
        <sz val="9"/>
        <rFont val="Arial"/>
        <family val="2"/>
      </rPr>
      <t>Z101 MR Summary</t>
    </r>
    <r>
      <rPr>
        <sz val="9"/>
        <rFont val="Arial"/>
        <family val="2"/>
      </rPr>
      <t>" sheet to determine X. Check the parameters file on the MLA150 computer.
Values are only a guide to find specific exposure dose and may be different for each process.</t>
    </r>
  </si>
  <si>
    <r>
      <t>Development time:
Use the "</t>
    </r>
    <r>
      <rPr>
        <b/>
        <sz val="9"/>
        <rFont val="Arial"/>
        <family val="2"/>
      </rPr>
      <t>Z01 MR Summary</t>
    </r>
    <r>
      <rPr>
        <sz val="9"/>
        <rFont val="Arial"/>
        <family val="2"/>
      </rPr>
      <t>" sheet to determine the development time.
The necessary time might be longer - if a reaction is visible within isopropanol (white residues appear), return to PGMEA for 1 min. Repeat until isopropanol does not react with dissolved SU8 residues.</t>
    </r>
  </si>
  <si>
    <t>Manual EBR with syringe filled with PGMEA</t>
  </si>
  <si>
    <t xml:space="preserve">Z1 / Sawatec HP401Z 
Z1 / Hotplate
 </t>
  </si>
  <si>
    <t>Z1 / Sawatec LSM200</t>
  </si>
  <si>
    <t>Z5 / MLA150</t>
  </si>
  <si>
    <t>Z1 / Hotplate</t>
  </si>
  <si>
    <t>Z2 / Ultrafab Piranha
Z2 / Tepla Gigabatch</t>
  </si>
  <si>
    <t>Z2 / Tepla Gigabatch</t>
  </si>
  <si>
    <t>Make sure hotplate is at 30°C standby.</t>
  </si>
  <si>
    <t>30 minutes @ 30°C</t>
  </si>
  <si>
    <t>Segment 1: Time: 10 s / Temp.: 30°C
Base Temp.: 30°C / Vaccum : ON / N2: ON
Segment 2: Time: 600 s / Temp.: 50°C
End segment: OFF / Vaccum : OFF / N2: ON                                                                                                                                                            
Segment 3: Time: X s / Temp.: 50°C
End segment: OFF / Vaccum : OFF / N2: ON
Segment 4: Time: 600 s / Temp.: 90°C
End segment: ON / Vaccum : OFF / N2: ON
Segment 5: Time: Y s / Temp.: 90°C
End segment: ON / Vaccum : OFF / N2: ON
Segment 6: Time: 1800 s / Temp.: 30°C
End segment: ON / Vaccum : OFF / N2: ON
Segment 7 -&gt; 24: NO INFLUENCE</t>
  </si>
  <si>
    <t>Planarisation</t>
  </si>
  <si>
    <t>Planarisation time</t>
  </si>
  <si>
    <t>Step time @ 30°C/RT [min]</t>
  </si>
  <si>
    <t>Note: Planarisation by putting wafer in glass Petri dish with matching cover, which creates solvent saturated atmosphere, and allows resist to flow/planarize without forming dry crust on top, and reduces edge beads.</t>
  </si>
  <si>
    <t>Note: Due to a different solvent formulation, MicroResist mr-DWL allows for short Bake times and quicker ramps compared to Gersteltec. Ramp 8°C/min</t>
  </si>
  <si>
    <t>Note: Place a single sheet of cleanroom paper under the substrate for better heat uniformity. Ramp 8°C/min</t>
  </si>
  <si>
    <r>
      <t>X &amp; Y are the PEB bake step times.                                                                                                                                        Use the "</t>
    </r>
    <r>
      <rPr>
        <b/>
        <sz val="9"/>
        <rFont val="Arial"/>
        <family val="2"/>
      </rPr>
      <t>Z01 MRSummary</t>
    </r>
    <r>
      <rPr>
        <sz val="9"/>
        <rFont val="Arial"/>
        <family val="2"/>
      </rPr>
      <t>" sheet to determine X &amp; Y.                                                      Ramp rule of thumb: 8°C/min</t>
    </r>
  </si>
  <si>
    <r>
      <t>X &amp; Y are the softbake step times.                                                                                                                                        Use the "</t>
    </r>
    <r>
      <rPr>
        <b/>
        <sz val="9"/>
        <rFont val="Arial"/>
        <family val="2"/>
      </rPr>
      <t>Z01 MR Summary</t>
    </r>
    <r>
      <rPr>
        <sz val="9"/>
        <rFont val="Arial"/>
        <family val="2"/>
      </rPr>
      <t>" sheet to determine X &amp; Y. Ramp rule of thumb: 8°C/min</t>
    </r>
  </si>
  <si>
    <t>MICRORESIST modified SU8 previously used for MLA150 405nm exposure</t>
  </si>
  <si>
    <t>V-shape implants</t>
  </si>
  <si>
    <t xml:space="preserve">Implants </t>
  </si>
  <si>
    <t>Windows</t>
  </si>
  <si>
    <t>(Recommended to prepare under yellow light or dark)</t>
  </si>
  <si>
    <t>Please select the device to continue:</t>
  </si>
  <si>
    <t>Holder</t>
  </si>
  <si>
    <t>V-Shape implants</t>
  </si>
  <si>
    <t>https://www.ostemers.com/products/ostemer-litho/</t>
  </si>
  <si>
    <t>https://www.xyzprinting.com/en/product/uv-curing-chamber</t>
  </si>
  <si>
    <t>Sacrificial layer</t>
  </si>
  <si>
    <t>Release</t>
  </si>
  <si>
    <t>Reference for the film thickness</t>
  </si>
  <si>
    <t>Molds for V-shape implants</t>
  </si>
  <si>
    <t>Mold</t>
  </si>
  <si>
    <t>Summary</t>
  </si>
  <si>
    <t>PDMS molding</t>
  </si>
  <si>
    <t>Silanization</t>
  </si>
  <si>
    <t>Ostemer deposition</t>
  </si>
  <si>
    <t>Cutting</t>
  </si>
  <si>
    <t>Examination</t>
  </si>
  <si>
    <t>Silane</t>
  </si>
  <si>
    <t>https://www.sigmaaldrich.com/CH/en/product/aldrich/448931</t>
  </si>
  <si>
    <t>Ostemer</t>
  </si>
  <si>
    <t>Process Summary</t>
  </si>
  <si>
    <t>https://www.dow.com/en-us/pdp.sylgard-184-silicone-elastomer-kit.01064291z.html#pdp-sample-options</t>
  </si>
  <si>
    <t>Silanization of the PDMS molds</t>
  </si>
  <si>
    <t>Detailed process flow</t>
  </si>
  <si>
    <t>Silanization of the master mold wafer (once only)</t>
  </si>
  <si>
    <t>• 6 drops of silane (2 drops in each small container, prefarably glass) for 6 hours. Make sure the containers are not close to the wafer.</t>
  </si>
  <si>
    <r>
      <t xml:space="preserve">• </t>
    </r>
    <r>
      <rPr>
        <b/>
        <sz val="10"/>
        <rFont val="Arial"/>
        <family val="2"/>
      </rPr>
      <t>Mix</t>
    </r>
    <r>
      <rPr>
        <sz val="10"/>
        <rFont val="Arial"/>
        <family val="2"/>
      </rPr>
      <t xml:space="preserve"> elastomer and curing agent at a ratio of 1:10 wt. Usually, 60 gram of total PDMS is enough for 4 inch wafer in a 35 mm petri dish.
• </t>
    </r>
    <r>
      <rPr>
        <b/>
        <sz val="10"/>
        <rFont val="Arial"/>
        <family val="2"/>
      </rPr>
      <t>Degas</t>
    </r>
    <r>
      <rPr>
        <sz val="10"/>
        <rFont val="Arial"/>
        <family val="2"/>
      </rPr>
      <t xml:space="preserve"> in the degassing chamber in the hood. The vacuum pump is so strong, the PDMS can bloat and spil. Adjust the vacuum accordingly.
• </t>
    </r>
    <r>
      <rPr>
        <b/>
        <sz val="10"/>
        <rFont val="Arial"/>
        <family val="2"/>
      </rPr>
      <t>Pour</t>
    </r>
    <r>
      <rPr>
        <sz val="10"/>
        <rFont val="Arial"/>
        <family val="2"/>
      </rPr>
      <t xml:space="preserve"> it onto wafer in the petri dish.
• </t>
    </r>
    <r>
      <rPr>
        <b/>
        <sz val="10"/>
        <rFont val="Arial"/>
        <family val="2"/>
      </rPr>
      <t>Degas</t>
    </r>
    <r>
      <rPr>
        <sz val="10"/>
        <rFont val="Arial"/>
        <family val="2"/>
      </rPr>
      <t xml:space="preserve"> again for 2 hours. Make sure no single bubble is left.
• </t>
    </r>
    <r>
      <rPr>
        <b/>
        <sz val="10"/>
        <rFont val="Arial"/>
        <family val="2"/>
      </rPr>
      <t>Cure</t>
    </r>
    <r>
      <rPr>
        <sz val="10"/>
        <rFont val="Arial"/>
        <family val="2"/>
      </rPr>
      <t xml:space="preserve"> it at 65</t>
    </r>
    <r>
      <rPr>
        <sz val="10"/>
        <rFont val="Calibri"/>
        <family val="2"/>
      </rPr>
      <t>°</t>
    </r>
    <r>
      <rPr>
        <sz val="10"/>
        <rFont val="Arial"/>
        <family val="2"/>
      </rPr>
      <t>C</t>
    </r>
    <r>
      <rPr>
        <sz val="10"/>
        <rFont val="Arial"/>
        <family val="2"/>
      </rPr>
      <t xml:space="preserve"> in the oven min. for min 5 hours.
• </t>
    </r>
    <r>
      <rPr>
        <b/>
        <sz val="10"/>
        <rFont val="Arial"/>
        <family val="2"/>
      </rPr>
      <t>Cut</t>
    </r>
    <r>
      <rPr>
        <sz val="10"/>
        <rFont val="Arial"/>
        <family val="2"/>
      </rPr>
      <t xml:space="preserve"> the PDMS into small molds using razor blades. Refer to alignment markers at the edges
</t>
    </r>
  </si>
  <si>
    <t>PDMS</t>
  </si>
  <si>
    <t>Main consumables for the fabrication</t>
  </si>
  <si>
    <t>Release &amp; cutting</t>
  </si>
  <si>
    <r>
      <t xml:space="preserve">• </t>
    </r>
    <r>
      <rPr>
        <b/>
        <sz val="10"/>
        <rFont val="Arial"/>
        <family val="2"/>
      </rPr>
      <t>Relese</t>
    </r>
    <r>
      <rPr>
        <sz val="10"/>
        <rFont val="Arial"/>
        <family val="2"/>
      </rPr>
      <t xml:space="preserve"> the glass slides starting from connection side of the V implants. This increases the throughput by leaving minimal  residue behind.
•</t>
    </r>
    <r>
      <rPr>
        <b/>
        <sz val="10"/>
        <rFont val="Arial"/>
        <family val="2"/>
      </rPr>
      <t xml:space="preserve"> UV light exposure</t>
    </r>
    <r>
      <rPr>
        <sz val="10"/>
        <rFont val="Arial"/>
        <family val="2"/>
      </rPr>
      <t xml:space="preserve"> for another 10 mins to make sure about homogeneous polymerization.
• </t>
    </r>
    <r>
      <rPr>
        <b/>
        <sz val="10"/>
        <rFont val="Arial"/>
        <family val="2"/>
      </rPr>
      <t>Cu</t>
    </r>
    <r>
      <rPr>
        <sz val="10"/>
        <rFont val="Arial"/>
        <family val="2"/>
      </rPr>
      <t>t each implant using needles under the microscope.</t>
    </r>
  </si>
  <si>
    <t>Main equipment for the fabrication</t>
  </si>
  <si>
    <t>Vacuum Pump</t>
  </si>
  <si>
    <t>Vacuum desiccator</t>
  </si>
  <si>
    <t>Oven</t>
  </si>
  <si>
    <t>Plasma Cleaner</t>
  </si>
  <si>
    <t>UV Light</t>
  </si>
  <si>
    <t>https://shop.llg-labware.com/info466_Universal_drying_oven_LLG-uniiOVENi_lang_UK.htm?UID=55005feb15d8000000000000</t>
  </si>
  <si>
    <t>https://harrickplasma.com/plasma-cleaners/basic-plasma-cleaner/</t>
  </si>
  <si>
    <t>https://swissvacuum.com/vacuum-division</t>
  </si>
  <si>
    <t>Note: Recommended exposure tool: MJB4</t>
  </si>
  <si>
    <t>Wafer (100/P/SS/01-100) Sigert Wafer, Germany</t>
  </si>
  <si>
    <t>Spin Coat (SU8)</t>
  </si>
  <si>
    <t>Wafer prep</t>
  </si>
  <si>
    <t>Releasing &amp; cutting</t>
  </si>
  <si>
    <t>Spin coating parameters</t>
  </si>
  <si>
    <t>reference for sacrificial layer</t>
  </si>
  <si>
    <t>Spincoating of SU8</t>
  </si>
  <si>
    <r>
      <t xml:space="preserve">• </t>
    </r>
    <r>
      <rPr>
        <b/>
        <sz val="10"/>
        <rFont val="Arial"/>
        <family val="2"/>
      </rPr>
      <t xml:space="preserve">Preparation (in the lab): </t>
    </r>
    <r>
      <rPr>
        <sz val="10"/>
        <rFont val="Arial"/>
        <family val="2"/>
      </rPr>
      <t xml:space="preserve">The PAA purchased as a 25 % (w/v) solution in water was neutralized with a saturated solution of NaOH until reaching a pH of 7.5 with a pH indicator band test. Then, dilute the solution to 10% PAA concentration using miliQ water.
• </t>
    </r>
    <r>
      <rPr>
        <b/>
        <sz val="10"/>
        <rFont val="Arial"/>
        <family val="2"/>
      </rPr>
      <t>Pour</t>
    </r>
    <r>
      <rPr>
        <sz val="10"/>
        <rFont val="Arial"/>
        <family val="2"/>
      </rPr>
      <t xml:space="preserve"> it onto wafer covering min 60-70% of the surface.
• </t>
    </r>
    <r>
      <rPr>
        <b/>
        <sz val="10"/>
        <rFont val="Arial"/>
        <family val="2"/>
      </rPr>
      <t>Spin coat</t>
    </r>
    <r>
      <rPr>
        <sz val="10"/>
        <rFont val="Arial"/>
        <family val="2"/>
      </rPr>
      <t xml:space="preserve"> the wafer at </t>
    </r>
    <r>
      <rPr>
        <sz val="10"/>
        <rFont val="Calibri"/>
        <family val="2"/>
      </rPr>
      <t>~</t>
    </r>
    <r>
      <rPr>
        <sz val="10"/>
        <rFont val="Arial"/>
        <family val="2"/>
      </rPr>
      <t>1500-</t>
    </r>
    <r>
      <rPr>
        <sz val="10"/>
        <rFont val="Arial"/>
        <family val="2"/>
      </rPr>
      <t xml:space="preserve">2000 RPM for 15 sec. Use WS-650-23 Laurell Technologies in Zone 13. This parameter gives you ~1 um sacrificial layer thickness.  
• </t>
    </r>
    <r>
      <rPr>
        <b/>
        <sz val="10"/>
        <rFont val="Arial"/>
        <family val="2"/>
      </rPr>
      <t>Bake</t>
    </r>
    <r>
      <rPr>
        <sz val="10"/>
        <rFont val="Arial"/>
        <family val="2"/>
      </rPr>
      <t xml:space="preserve"> the wafer at 150°C for 2 mins on the hotplate next to the spin coater.
</t>
    </r>
  </si>
  <si>
    <r>
      <t xml:space="preserve">• </t>
    </r>
    <r>
      <rPr>
        <b/>
        <sz val="10"/>
        <rFont val="Arial"/>
        <family val="2"/>
      </rPr>
      <t>Dehydration</t>
    </r>
    <r>
      <rPr>
        <sz val="10"/>
        <rFont val="Arial"/>
        <family val="2"/>
      </rPr>
      <t xml:space="preserve"> is recommended (if available). In Zone 13, on ceramic hot plates. These are cheap hot plates and enough godd for dehyration.
• </t>
    </r>
    <r>
      <rPr>
        <b/>
        <sz val="10"/>
        <rFont val="Arial"/>
        <family val="2"/>
      </rPr>
      <t>Plasma</t>
    </r>
    <r>
      <rPr>
        <sz val="10"/>
        <rFont val="Arial"/>
        <family val="2"/>
      </rPr>
      <t xml:space="preserve"> cleaning and activation for better polymer bonding and uniform coating. (Z11, Tepla300, Program 5). It takes roughly 12 mins. Do not wait more than 10 mins between wafer prep and sacrificial layer because the prep is time dependant. </t>
    </r>
  </si>
  <si>
    <r>
      <rPr>
        <b/>
        <sz val="10"/>
        <rFont val="Arial"/>
        <family val="2"/>
      </rPr>
      <t xml:space="preserve">• Enter </t>
    </r>
    <r>
      <rPr>
        <sz val="10"/>
        <rFont val="Arial"/>
        <family val="2"/>
      </rPr>
      <t xml:space="preserve">the spincoating parameters into Sawatech in Z13
Segment 1: Time: 5s / Speed: 500rpm
Segment 2: Time: 5s / Speed: 500rpm
Segment 3: Time: 10s / Speed: 1500rpm
Segment 4: Time: 40s / Speed: 1500rpm
Segment 5: Time: 1s / Speed: 2500rpm
Segment 6: Time: 1s / Speed: 1500rpm
Segment 7: Time: 5s / Speed: 1500rpm
Segment 8: Time: (15)s / Speed: 0rpm
Segment 9 -&gt; 24: Time: 0s / Speed: 0rpm
</t>
    </r>
    <r>
      <rPr>
        <b/>
        <sz val="10"/>
        <rFont val="Arial"/>
        <family val="2"/>
      </rPr>
      <t>• Pour</t>
    </r>
    <r>
      <rPr>
        <sz val="10"/>
        <rFont val="Arial"/>
        <family val="2"/>
      </rPr>
      <t xml:space="preserve"> SU8 covering 60% of the silicon wafer and run the machine. No relaxation time is needed.</t>
    </r>
  </si>
  <si>
    <r>
      <rPr>
        <b/>
        <sz val="10"/>
        <rFont val="Arial"/>
        <family val="2"/>
      </rPr>
      <t>• Warm up</t>
    </r>
    <r>
      <rPr>
        <sz val="10"/>
        <rFont val="Arial"/>
        <family val="2"/>
      </rPr>
      <t xml:space="preserve"> MJB4 in Zone 13. It takes 4-5 minutes.
</t>
    </r>
    <r>
      <rPr>
        <b/>
        <sz val="10"/>
        <rFont val="Arial"/>
        <family val="2"/>
      </rPr>
      <t>• Apply</t>
    </r>
    <r>
      <rPr>
        <sz val="10"/>
        <rFont val="Arial"/>
        <family val="2"/>
      </rPr>
      <t xml:space="preserve"> 13 seconds of UV light. This is higher than Cmi suggestion. 
</t>
    </r>
    <r>
      <rPr>
        <sz val="10"/>
        <rFont val="Arial"/>
        <family val="2"/>
      </rPr>
      <t xml:space="preserve">
</t>
    </r>
  </si>
  <si>
    <r>
      <rPr>
        <b/>
        <sz val="10"/>
        <rFont val="Arial"/>
        <family val="2"/>
      </rPr>
      <t xml:space="preserve">• Warm up </t>
    </r>
    <r>
      <rPr>
        <sz val="10"/>
        <rFont val="Arial"/>
        <family val="2"/>
      </rPr>
      <t xml:space="preserve">the hotplate Sawatech to 95°C. Make sure the temperature is stable.
• Bake the wafer for 600 secs for 3010 and 552 secs for 3025.
</t>
    </r>
    <r>
      <rPr>
        <b/>
        <sz val="10"/>
        <rFont val="Arial"/>
        <family val="2"/>
      </rPr>
      <t>• Wait</t>
    </r>
    <r>
      <rPr>
        <sz val="10"/>
        <rFont val="Arial"/>
        <family val="2"/>
      </rPr>
      <t xml:space="preserve"> the wafer at room temperature for 5 mins.</t>
    </r>
  </si>
  <si>
    <r>
      <rPr>
        <b/>
        <sz val="10"/>
        <rFont val="Arial"/>
        <family val="2"/>
      </rPr>
      <t>• Warm up</t>
    </r>
    <r>
      <rPr>
        <sz val="10"/>
        <rFont val="Arial"/>
        <family val="2"/>
      </rPr>
      <t xml:space="preserve"> Sawatech hotplates to 95°C and 65°C. Make sure the temperature is stable.</t>
    </r>
    <r>
      <rPr>
        <b/>
        <sz val="10"/>
        <rFont val="Arial"/>
        <family val="2"/>
      </rPr>
      <t xml:space="preserve">
• Bake</t>
    </r>
    <r>
      <rPr>
        <sz val="10"/>
        <rFont val="Arial"/>
        <family val="2"/>
      </rPr>
      <t xml:space="preserve"> the wafer first at 65°C for 1 min. Then, 95°C for 4 mins. (this is for SU8 3010)</t>
    </r>
    <r>
      <rPr>
        <b/>
        <sz val="10"/>
        <rFont val="Arial"/>
        <family val="2"/>
      </rPr>
      <t xml:space="preserve">
• Relaxation</t>
    </r>
    <r>
      <rPr>
        <sz val="10"/>
        <rFont val="Arial"/>
        <family val="2"/>
      </rPr>
      <t xml:space="preserve"> for 10 mins at room temperature.
</t>
    </r>
  </si>
  <si>
    <t>SU8 (3010 or 3025) Provided by CMi</t>
  </si>
  <si>
    <t>for SU8 details</t>
  </si>
  <si>
    <t>to order \ details</t>
  </si>
  <si>
    <t>PAA for Sacrificial layer</t>
  </si>
  <si>
    <r>
      <rPr>
        <b/>
        <sz val="10"/>
        <rFont val="Arial"/>
        <family val="2"/>
      </rPr>
      <t xml:space="preserve">• Prepare </t>
    </r>
    <r>
      <rPr>
        <sz val="10"/>
        <rFont val="Arial"/>
        <family val="2"/>
      </rPr>
      <t>2 cups of PGMEA bath.</t>
    </r>
    <r>
      <rPr>
        <b/>
        <sz val="10"/>
        <rFont val="Arial"/>
        <family val="2"/>
      </rPr>
      <t xml:space="preserve">
• Development </t>
    </r>
    <r>
      <rPr>
        <sz val="10"/>
        <rFont val="Arial"/>
        <family val="2"/>
      </rPr>
      <t>3 mins in each bath.</t>
    </r>
    <r>
      <rPr>
        <b/>
        <sz val="10"/>
        <rFont val="Arial"/>
        <family val="2"/>
      </rPr>
      <t xml:space="preserve">
• Rinse </t>
    </r>
    <r>
      <rPr>
        <sz val="10"/>
        <rFont val="Arial"/>
        <family val="2"/>
      </rPr>
      <t xml:space="preserve">in IPA for 1 mins.
</t>
    </r>
    <r>
      <rPr>
        <b/>
        <sz val="10"/>
        <rFont val="Arial"/>
        <family val="2"/>
      </rPr>
      <t>• Dry</t>
    </r>
    <r>
      <rPr>
        <sz val="10"/>
        <rFont val="Arial"/>
        <family val="2"/>
      </rPr>
      <t xml:space="preserve"> using air gun.
</t>
    </r>
  </si>
  <si>
    <t>Spincoating &amp; Soft Bake (AZ40XT)</t>
  </si>
  <si>
    <r>
      <rPr>
        <b/>
        <sz val="10"/>
        <rFont val="Arial"/>
        <family val="2"/>
      </rPr>
      <t>• Warm up</t>
    </r>
    <r>
      <rPr>
        <sz val="10"/>
        <rFont val="Arial"/>
        <family val="2"/>
      </rPr>
      <t xml:space="preserve"> MJB4 in Zone 13. It takes 4-5 minutes.
</t>
    </r>
    <r>
      <rPr>
        <b/>
        <sz val="10"/>
        <rFont val="Arial"/>
        <family val="2"/>
      </rPr>
      <t xml:space="preserve">• Use </t>
    </r>
    <r>
      <rPr>
        <sz val="10"/>
        <rFont val="Arial"/>
        <family val="2"/>
      </rPr>
      <t xml:space="preserve">the 2nd mask and mask aligner for matching first fabrication and second one. Alignment markers will help you.  </t>
    </r>
    <r>
      <rPr>
        <b/>
        <sz val="10"/>
        <rFont val="Arial"/>
        <family val="2"/>
      </rPr>
      <t xml:space="preserve"> </t>
    </r>
    <r>
      <rPr>
        <sz val="10"/>
        <rFont val="Arial"/>
        <family val="2"/>
      </rPr>
      <t xml:space="preserve">
</t>
    </r>
  </si>
  <si>
    <t>Development (AZ40XT)</t>
  </si>
  <si>
    <r>
      <rPr>
        <b/>
        <sz val="10"/>
        <rFont val="Arial"/>
        <family val="2"/>
      </rPr>
      <t xml:space="preserve">• Spincoat: </t>
    </r>
    <r>
      <rPr>
        <sz val="10"/>
        <rFont val="Arial"/>
        <family val="2"/>
      </rPr>
      <t xml:space="preserve">AZ40XT using ACS200 automatic processor. 20 </t>
    </r>
    <r>
      <rPr>
        <sz val="10"/>
        <rFont val="Calibri"/>
        <family val="2"/>
      </rPr>
      <t>μ</t>
    </r>
    <r>
      <rPr>
        <sz val="10"/>
        <rFont val="Arial"/>
        <family val="2"/>
      </rPr>
      <t>m thickness. Use the special recipe (number:??) for our process in this machine.If possible, wait the wafer in a dark box with wet tissues for hydration. This improves the light absorption in the next step.</t>
    </r>
    <r>
      <rPr>
        <b/>
        <sz val="10"/>
        <rFont val="Arial"/>
        <family val="2"/>
      </rPr>
      <t xml:space="preserve">
</t>
    </r>
    <r>
      <rPr>
        <sz val="10"/>
        <rFont val="Arial"/>
        <family val="2"/>
      </rPr>
      <t xml:space="preserve">
</t>
    </r>
  </si>
  <si>
    <r>
      <rPr>
        <b/>
        <sz val="10"/>
        <rFont val="Arial"/>
        <family val="2"/>
      </rPr>
      <t xml:space="preserve">• Development: </t>
    </r>
    <r>
      <rPr>
        <sz val="10"/>
        <rFont val="Arial"/>
        <family val="2"/>
      </rPr>
      <t>remove exposed polymer from the waferT using ACS200. Check the edges and other parts under the microscope.</t>
    </r>
  </si>
  <si>
    <t>Metal coating of numbers</t>
  </si>
  <si>
    <r>
      <rPr>
        <b/>
        <sz val="10"/>
        <rFont val="Arial"/>
        <family val="2"/>
      </rPr>
      <t>• Physical vapor deposition:</t>
    </r>
    <r>
      <rPr>
        <sz val="10"/>
        <rFont val="Arial"/>
        <family val="2"/>
      </rPr>
      <t xml:space="preserve"> Ti (2 nm) and Au (10 nm) gold deposition using metal evaporation (EVA760). Ti makes proper bonding between SU8 and Au. Indeed, Ti and Au makes metallic alloy and then Au continues to grow up to 10 nm.</t>
    </r>
  </si>
  <si>
    <r>
      <rPr>
        <b/>
        <sz val="10"/>
        <rFont val="Arial"/>
        <family val="2"/>
      </rPr>
      <t xml:space="preserve">• Remove </t>
    </r>
    <r>
      <rPr>
        <sz val="10"/>
        <rFont val="Arial"/>
        <family val="2"/>
      </rPr>
      <t>positive photoresist using Remover 1165. The timing is important. It may take 1-2 days. Watch the solution.</t>
    </r>
  </si>
  <si>
    <t>Metal Evaporation</t>
  </si>
  <si>
    <t>Removal</t>
  </si>
  <si>
    <r>
      <rPr>
        <b/>
        <sz val="10"/>
        <rFont val="Arial"/>
        <family val="2"/>
      </rPr>
      <t xml:space="preserve">• Release: </t>
    </r>
    <r>
      <rPr>
        <sz val="10"/>
        <rFont val="Arial"/>
        <family val="2"/>
      </rPr>
      <t>Use DI water to release numbered windows. You can wash all the wafer or just put a drop onto a couple of windows needed. Gently handle the windows to avoid scratching.</t>
    </r>
  </si>
  <si>
    <t>Numbered Windows Fabrication</t>
  </si>
  <si>
    <t>A tip for sacrificial layer prep</t>
  </si>
  <si>
    <r>
      <t xml:space="preserve">for starting point: use 1 ml PAA (25% aqeous), 340 </t>
    </r>
    <r>
      <rPr>
        <sz val="10"/>
        <rFont val="Calibri"/>
        <family val="2"/>
      </rPr>
      <t xml:space="preserve">μl NaOH (10 M aqeous) and dilute with mili Q water until 10% aqeous PAA. This will result in ph of 7.3. </t>
    </r>
  </si>
  <si>
    <t>Note: SU8 window thickness from 15 um to 20 is acceptable</t>
  </si>
  <si>
    <t>HMDS treatment</t>
  </si>
  <si>
    <t>Etching</t>
  </si>
  <si>
    <t>Metrology</t>
  </si>
  <si>
    <t>UFT removal</t>
  </si>
  <si>
    <t>Molds: V-Shape implants</t>
  </si>
  <si>
    <r>
      <t xml:space="preserve">Wafer prep </t>
    </r>
    <r>
      <rPr>
        <b/>
        <sz val="10"/>
        <color rgb="FFFF0000"/>
        <rFont val="Arial"/>
        <family val="2"/>
      </rPr>
      <t>!(critical)!</t>
    </r>
  </si>
  <si>
    <r>
      <t xml:space="preserve">• </t>
    </r>
    <r>
      <rPr>
        <b/>
        <sz val="10"/>
        <rFont val="Arial"/>
        <family val="2"/>
      </rPr>
      <t xml:space="preserve">HMDS </t>
    </r>
    <r>
      <rPr>
        <sz val="10"/>
        <rFont val="Arial"/>
        <family val="2"/>
      </rPr>
      <t>is critical for resist bonding firmly onto the silicon wafer.</t>
    </r>
    <r>
      <rPr>
        <b/>
        <sz val="10"/>
        <rFont val="Arial"/>
        <family val="2"/>
      </rPr>
      <t xml:space="preserve"> </t>
    </r>
    <r>
      <rPr>
        <sz val="10"/>
        <rFont val="Arial"/>
        <family val="2"/>
      </rPr>
      <t xml:space="preserve">
• There are 3 free HMDS equipment in 1) Zone 4, 2) Zone 2 and 3) Zone 13. If they are not available use ACS 200 (recipe #8000). After HMDS, do not lose time. It is time sensitive. </t>
    </r>
  </si>
  <si>
    <r>
      <t>•</t>
    </r>
    <r>
      <rPr>
        <b/>
        <sz val="10"/>
        <rFont val="Arial"/>
        <family val="2"/>
      </rPr>
      <t xml:space="preserve"> EVG 150</t>
    </r>
    <r>
      <rPr>
        <sz val="10"/>
        <rFont val="Arial"/>
        <family val="2"/>
      </rPr>
      <t xml:space="preserve"> automatic coater and developer in Zone 6 
• </t>
    </r>
    <r>
      <rPr>
        <b/>
        <sz val="10"/>
        <rFont val="Arial"/>
        <family val="2"/>
      </rPr>
      <t xml:space="preserve">Polymer: </t>
    </r>
    <r>
      <rPr>
        <sz val="10"/>
        <rFont val="Arial"/>
        <family val="2"/>
      </rPr>
      <t xml:space="preserve">AZ10XT-60. 
• </t>
    </r>
    <r>
      <rPr>
        <b/>
        <sz val="10"/>
        <rFont val="Arial"/>
        <family val="2"/>
      </rPr>
      <t>Recipe</t>
    </r>
    <r>
      <rPr>
        <sz val="10"/>
        <rFont val="Arial"/>
        <family val="2"/>
      </rPr>
      <t xml:space="preserve"> (8 </t>
    </r>
    <r>
      <rPr>
        <sz val="10"/>
        <rFont val="Calibri"/>
        <family val="2"/>
      </rPr>
      <t>μ</t>
    </r>
    <r>
      <rPr>
        <sz val="10"/>
        <rFont val="Arial"/>
        <family val="2"/>
      </rPr>
      <t>m coating):</t>
    </r>
    <r>
      <rPr>
        <b/>
        <sz val="10"/>
        <rFont val="Arial"/>
        <family val="2"/>
      </rPr>
      <t xml:space="preserve"> </t>
    </r>
    <r>
      <rPr>
        <sz val="10"/>
        <rFont val="Arial"/>
        <family val="2"/>
      </rPr>
      <t xml:space="preserve">C4_D_10XT_8u_EC  
• wait min 12 mins before next step. The polymer needs rehydration.
</t>
    </r>
  </si>
  <si>
    <r>
      <rPr>
        <b/>
        <sz val="10"/>
        <rFont val="Arial"/>
        <family val="2"/>
      </rPr>
      <t xml:space="preserve">• MJB4 </t>
    </r>
    <r>
      <rPr>
        <sz val="10"/>
        <rFont val="Arial"/>
        <family val="2"/>
      </rPr>
      <t xml:space="preserve">exposure tool in Zone 13. </t>
    </r>
    <r>
      <rPr>
        <b/>
        <sz val="10"/>
        <rFont val="Arial"/>
        <family val="2"/>
      </rPr>
      <t xml:space="preserve"> </t>
    </r>
    <r>
      <rPr>
        <sz val="10"/>
        <rFont val="Arial"/>
        <family val="2"/>
      </rPr>
      <t xml:space="preserve">
</t>
    </r>
    <r>
      <rPr>
        <b/>
        <sz val="10"/>
        <rFont val="Arial"/>
        <family val="2"/>
      </rPr>
      <t xml:space="preserve">• Exposure amount: </t>
    </r>
    <r>
      <rPr>
        <sz val="10"/>
        <rFont val="Arial"/>
        <family val="2"/>
      </rPr>
      <t>Between 440-520 mJ\cm2 exposure works well. 
• Make sure no dust is on the mask and wafer</t>
    </r>
  </si>
  <si>
    <t>Etching &amp; Metrology</t>
  </si>
  <si>
    <r>
      <rPr>
        <b/>
        <sz val="10"/>
        <rFont val="Arial"/>
        <family val="2"/>
      </rPr>
      <t>• AMS200</t>
    </r>
    <r>
      <rPr>
        <sz val="10"/>
        <rFont val="Arial"/>
        <family val="2"/>
      </rPr>
      <t xml:space="preserve"> in Zone 2.
</t>
    </r>
    <r>
      <rPr>
        <b/>
        <sz val="10"/>
        <rFont val="Arial"/>
        <family val="2"/>
      </rPr>
      <t xml:space="preserve">• Recipe: </t>
    </r>
    <r>
      <rPr>
        <sz val="10"/>
        <rFont val="Arial"/>
        <family val="2"/>
      </rPr>
      <t xml:space="preserve">SOI_acc_++++ 
• Target etching height is 325-360 </t>
    </r>
    <r>
      <rPr>
        <sz val="10"/>
        <rFont val="Calibri"/>
        <family val="2"/>
      </rPr>
      <t>μ</t>
    </r>
    <r>
      <rPr>
        <sz val="10"/>
        <rFont val="Arial"/>
        <family val="2"/>
      </rPr>
      <t>m.
• The recipe gives 3.5 to 4 μm\min etching rate.
• First etch the wafer for 60 min.
• Then, measure the etching height via DekTak mechanical profiler in Zone 4. Calculate the etching ratia\min for this case (it can change even from day to day).
• Do one more etching that close to your target height. Then, measure again. 
• Do final etching for fine-tuning..
• Measure the height.</t>
    </r>
  </si>
  <si>
    <t>UFT resist removal</t>
  </si>
  <si>
    <r>
      <rPr>
        <b/>
        <sz val="10"/>
        <rFont val="Arial"/>
        <family val="2"/>
      </rPr>
      <t>• Warm up</t>
    </r>
    <r>
      <rPr>
        <sz val="10"/>
        <rFont val="Arial"/>
        <family val="2"/>
      </rPr>
      <t xml:space="preserve"> the UFT resist removal setup in Zone 2. The optimum temperature is 70 C. </t>
    </r>
    <r>
      <rPr>
        <b/>
        <sz val="10"/>
        <rFont val="Arial"/>
        <family val="2"/>
      </rPr>
      <t xml:space="preserve">
• </t>
    </r>
    <r>
      <rPr>
        <sz val="10"/>
        <rFont val="Arial"/>
        <family val="2"/>
      </rPr>
      <t xml:space="preserve">Follow the all the steps. (18 steps) </t>
    </r>
    <r>
      <rPr>
        <b/>
        <sz val="10"/>
        <rFont val="Arial"/>
        <family val="2"/>
      </rPr>
      <t xml:space="preserve">
• </t>
    </r>
    <r>
      <rPr>
        <sz val="10"/>
        <rFont val="Arial"/>
        <family val="2"/>
      </rPr>
      <t xml:space="preserve">Do </t>
    </r>
    <r>
      <rPr>
        <b/>
        <sz val="10"/>
        <rFont val="Arial"/>
        <family val="2"/>
      </rPr>
      <t xml:space="preserve">inspection </t>
    </r>
    <r>
      <rPr>
        <sz val="10"/>
        <rFont val="Arial"/>
        <family val="2"/>
      </rPr>
      <t>under the microscope and make sure no photoresist is left.</t>
    </r>
  </si>
  <si>
    <r>
      <rPr>
        <b/>
        <sz val="10"/>
        <rFont val="Arial"/>
        <family val="2"/>
      </rPr>
      <t>• Measure</t>
    </r>
    <r>
      <rPr>
        <sz val="10"/>
        <rFont val="Arial"/>
        <family val="2"/>
      </rPr>
      <t xml:space="preserve"> the heights and take notes behind the wafer.</t>
    </r>
  </si>
  <si>
    <r>
      <t xml:space="preserve">• </t>
    </r>
    <r>
      <rPr>
        <b/>
        <sz val="10"/>
        <rFont val="Arial"/>
        <family val="2"/>
      </rPr>
      <t>EVG 150</t>
    </r>
    <r>
      <rPr>
        <sz val="10"/>
        <rFont val="Arial"/>
        <family val="2"/>
      </rPr>
      <t xml:space="preserve"> automatic coater and developer in Zone 6 
• Recipe: D4_N_10XT_8u_PUD  
• Clean the wafer with water and dry afterwards.
• Suggestion: wait the wafer to dehydrate at 85 C in the oven in Zone 14 overnight.</t>
    </r>
  </si>
  <si>
    <r>
      <rPr>
        <b/>
        <u/>
        <sz val="12"/>
        <rFont val="Arial"/>
        <family val="2"/>
      </rPr>
      <t>Note</t>
    </r>
    <r>
      <rPr>
        <b/>
        <sz val="12"/>
        <rFont val="Arial"/>
        <family val="2"/>
      </rPr>
      <t>: All the mask and 3D printing desings can be found in the lab server</t>
    </r>
  </si>
  <si>
    <t>Numbered windows</t>
  </si>
  <si>
    <t>A baking step can be applied before etching. For instance, the wafers can be wait at 85C in the oven in Zone 14 for overnight. The purpose is to dehydrate all possible water from the polymer so that no possible interaction between water moleules and etching chemicals. Even without this, the etching works quite well.</t>
  </si>
  <si>
    <t>Optional</t>
  </si>
  <si>
    <r>
      <t xml:space="preserve">• </t>
    </r>
    <r>
      <rPr>
        <b/>
        <sz val="10"/>
        <rFont val="Arial"/>
        <family val="2"/>
      </rPr>
      <t>Place</t>
    </r>
    <r>
      <rPr>
        <sz val="10"/>
        <rFont val="Arial"/>
        <family val="2"/>
      </rPr>
      <t xml:space="preserve"> the PDMS molds into silanization chamber. 
• </t>
    </r>
    <r>
      <rPr>
        <b/>
        <sz val="10"/>
        <rFont val="Arial"/>
        <family val="2"/>
      </rPr>
      <t>Put</t>
    </r>
    <r>
      <rPr>
        <sz val="10"/>
        <rFont val="Arial"/>
        <family val="2"/>
      </rPr>
      <t xml:space="preserve"> 6 drops of silane onto the far sides.
• </t>
    </r>
    <r>
      <rPr>
        <b/>
        <sz val="10"/>
        <rFont val="Arial"/>
        <family val="2"/>
      </rPr>
      <t>Wait</t>
    </r>
    <r>
      <rPr>
        <sz val="10"/>
        <rFont val="Arial"/>
        <family val="2"/>
      </rPr>
      <t xml:space="preserve"> in full vacuum for 1h 37 mins.(this has to be tested with new chambers).
• </t>
    </r>
    <r>
      <rPr>
        <b/>
        <sz val="10"/>
        <rFont val="Arial"/>
        <family val="2"/>
      </rPr>
      <t>Warm</t>
    </r>
    <r>
      <rPr>
        <sz val="10"/>
        <rFont val="Arial"/>
        <family val="2"/>
      </rPr>
      <t xml:space="preserve"> Ostemer Part A at 48</t>
    </r>
    <r>
      <rPr>
        <sz val="10"/>
        <rFont val="Calibri"/>
        <family val="2"/>
      </rPr>
      <t>°</t>
    </r>
    <r>
      <rPr>
        <sz val="10"/>
        <rFont val="Arial"/>
        <family val="2"/>
      </rPr>
      <t xml:space="preserve">C overnight. Make sure no crystal left.
• </t>
    </r>
    <r>
      <rPr>
        <b/>
        <sz val="10"/>
        <rFont val="Arial"/>
        <family val="2"/>
      </rPr>
      <t>Warm</t>
    </r>
    <r>
      <rPr>
        <sz val="10"/>
        <rFont val="Arial"/>
        <family val="2"/>
      </rPr>
      <t xml:space="preserve"> part B and and plastic mixing cup up to 48°C for 30 mins. 
• </t>
    </r>
    <r>
      <rPr>
        <b/>
        <sz val="10"/>
        <rFont val="Arial"/>
        <family val="2"/>
      </rPr>
      <t>Mix</t>
    </r>
    <r>
      <rPr>
        <sz val="10"/>
        <rFont val="Arial"/>
        <family val="2"/>
      </rPr>
      <t xml:space="preserve"> part A and part B (1.86:1 wt\wt) thoroughly under yellow light.
•</t>
    </r>
    <r>
      <rPr>
        <b/>
        <sz val="10"/>
        <rFont val="Arial"/>
        <family val="2"/>
      </rPr>
      <t xml:space="preserve"> Degas</t>
    </r>
    <r>
      <rPr>
        <sz val="10"/>
        <rFont val="Arial"/>
        <family val="2"/>
      </rPr>
      <t xml:space="preserve"> the mixture in the vacuum chamber for 5 mins.
• </t>
    </r>
    <r>
      <rPr>
        <b/>
        <sz val="10"/>
        <rFont val="Arial"/>
        <family val="2"/>
      </rPr>
      <t>Plasma treat</t>
    </r>
    <r>
      <rPr>
        <sz val="10"/>
        <rFont val="Arial"/>
        <family val="2"/>
      </rPr>
      <t xml:space="preserve"> (1 min) the glass slides at the same time of degassing.
• </t>
    </r>
    <r>
      <rPr>
        <b/>
        <sz val="10"/>
        <rFont val="Arial"/>
        <family val="2"/>
      </rPr>
      <t>Pour</t>
    </r>
    <r>
      <rPr>
        <sz val="10"/>
        <rFont val="Arial"/>
        <family val="2"/>
      </rPr>
      <t xml:space="preserve"> 200 </t>
    </r>
    <r>
      <rPr>
        <sz val="10"/>
        <rFont val="Calibri"/>
        <family val="2"/>
      </rPr>
      <t>μ</t>
    </r>
    <r>
      <rPr>
        <sz val="10"/>
        <rFont val="Arial"/>
        <family val="2"/>
      </rPr>
      <t xml:space="preserve">l drop of mixture onto each silanized PDMS mold. Or make sure you covered half of the PDMS mold with ostomer mixture.
• Mechanically sandwich the mold between two glass slides using two clips.
• UV light exposure for 10 mins. Rotate several times to make sure it is well polymerized.
</t>
    </r>
  </si>
  <si>
    <r>
      <t xml:space="preserve">• </t>
    </r>
    <r>
      <rPr>
        <b/>
        <sz val="10"/>
        <rFont val="Arial"/>
        <family val="2"/>
      </rPr>
      <t>Place</t>
    </r>
    <r>
      <rPr>
        <sz val="10"/>
        <rFont val="Arial"/>
        <family val="2"/>
      </rPr>
      <t xml:space="preserve"> the PDMS molds into silanization chamber.
• </t>
    </r>
    <r>
      <rPr>
        <b/>
        <sz val="10"/>
        <rFont val="Arial"/>
        <family val="2"/>
      </rPr>
      <t>Put</t>
    </r>
    <r>
      <rPr>
        <sz val="10"/>
        <rFont val="Arial"/>
        <family val="2"/>
      </rPr>
      <t xml:space="preserve"> 6 drops (total) of silane onto the far sides.
• </t>
    </r>
    <r>
      <rPr>
        <b/>
        <sz val="10"/>
        <rFont val="Arial"/>
        <family val="2"/>
      </rPr>
      <t>Wait</t>
    </r>
    <r>
      <rPr>
        <sz val="10"/>
        <rFont val="Arial"/>
        <family val="2"/>
      </rPr>
      <t xml:space="preserve"> in full vacuum for 5 hours.</t>
    </r>
  </si>
  <si>
    <r>
      <t xml:space="preserve">• </t>
    </r>
    <r>
      <rPr>
        <b/>
        <sz val="10"/>
        <rFont val="Arial"/>
        <family val="2"/>
      </rPr>
      <t xml:space="preserve">Preparation (in the lab): </t>
    </r>
    <r>
      <rPr>
        <sz val="10"/>
        <rFont val="Arial"/>
        <family val="2"/>
      </rPr>
      <t xml:space="preserve">The dextran is purchased as powder. Dextran and mili Q water are mixed as 20% (wt/vol). The mixture is waited at 90 C in a water bath for 2 hours to dissolve dextran thoroughly.
• </t>
    </r>
    <r>
      <rPr>
        <b/>
        <sz val="10"/>
        <rFont val="Arial"/>
        <family val="2"/>
      </rPr>
      <t>Pour</t>
    </r>
    <r>
      <rPr>
        <sz val="10"/>
        <rFont val="Arial"/>
        <family val="2"/>
      </rPr>
      <t xml:space="preserve"> it onto wafer covering min 60-70% of the surface.
• </t>
    </r>
    <r>
      <rPr>
        <b/>
        <sz val="10"/>
        <rFont val="Arial"/>
        <family val="2"/>
      </rPr>
      <t>Spin coat</t>
    </r>
    <r>
      <rPr>
        <sz val="10"/>
        <rFont val="Arial"/>
        <family val="2"/>
      </rPr>
      <t xml:space="preserve"> the wafer at 1000 RPM for 15 sec. Use WS-650-23 Laurell Technologies (currently replaced with sawatech coater) in Zone 13. This parameter gives you ~1 um sacrificial layer thickness.  
• </t>
    </r>
    <r>
      <rPr>
        <b/>
        <sz val="10"/>
        <rFont val="Arial"/>
        <family val="2"/>
      </rPr>
      <t>Bake</t>
    </r>
    <r>
      <rPr>
        <sz val="10"/>
        <rFont val="Arial"/>
        <family val="2"/>
      </rPr>
      <t xml:space="preserve"> the wafer at 150°C for 2 mins on the hotplate next to the spin coater.
</t>
    </r>
  </si>
  <si>
    <t>Order through EPFL CMi website</t>
  </si>
  <si>
    <t>Dextran for Sacrificial layer</t>
  </si>
  <si>
    <t>Remounting Stage</t>
  </si>
  <si>
    <t>Substrate Prep</t>
  </si>
  <si>
    <t>3D printing</t>
  </si>
  <si>
    <t>Substrate prep</t>
  </si>
  <si>
    <r>
      <t xml:space="preserve">• </t>
    </r>
    <r>
      <rPr>
        <b/>
        <sz val="10"/>
        <rFont val="Arial"/>
        <family val="2"/>
      </rPr>
      <t>Plasma</t>
    </r>
    <r>
      <rPr>
        <sz val="10"/>
        <rFont val="Arial"/>
        <family val="2"/>
      </rPr>
      <t xml:space="preserve"> cleaning and activation for better polymer bonding and uniform coating. (Z11, Tepla300, Program 5). It takes roughly 12 mins. Do not wait more than 10 mins between wafer prep and sacrificial layer because the prep is time dependant. </t>
    </r>
  </si>
  <si>
    <r>
      <rPr>
        <b/>
        <sz val="10"/>
        <rFont val="Arial"/>
        <family val="2"/>
      </rPr>
      <t xml:space="preserve">• Wait in PGMEA </t>
    </r>
    <r>
      <rPr>
        <sz val="10"/>
        <rFont val="Arial"/>
        <family val="2"/>
      </rPr>
      <t xml:space="preserve">to remove uncured polymer for 20 mins.
• Rinse with IPA thoroughly.
</t>
    </r>
    <r>
      <rPr>
        <b/>
        <sz val="10"/>
        <rFont val="Arial"/>
        <family val="2"/>
      </rPr>
      <t/>
    </r>
  </si>
  <si>
    <r>
      <t xml:space="preserve">• </t>
    </r>
    <r>
      <rPr>
        <sz val="10"/>
        <rFont val="Arial"/>
        <family val="2"/>
      </rPr>
      <t>Apply a couple of water drops. It relases in a couple of minutes by itself. You can see a borderline while PAA layer is dissolved under the microscope.</t>
    </r>
  </si>
  <si>
    <r>
      <rPr>
        <b/>
        <sz val="10"/>
        <rFont val="Arial"/>
        <family val="2"/>
      </rPr>
      <t>• Use IP-S as material for printing (provided by CMi)</t>
    </r>
    <r>
      <rPr>
        <sz val="10"/>
        <rFont val="Arial"/>
        <family val="2"/>
      </rPr>
      <t xml:space="preserve">
</t>
    </r>
    <r>
      <rPr>
        <b/>
        <sz val="10"/>
        <rFont val="Arial"/>
        <family val="2"/>
      </rPr>
      <t>• The design can be found in lab server. Ready to use</t>
    </r>
  </si>
  <si>
    <t>Remounting stage</t>
  </si>
  <si>
    <t>Toolkit Manufacturing (v. April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</si>
</sst>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37" x14ac:knownFonts="1">
    <font>
      <sz val="10"/>
      <name val="Arial"/>
      <family val="2"/>
    </font>
    <font>
      <sz val="14"/>
      <name val="Arial"/>
      <family val="2"/>
    </font>
    <font>
      <b/>
      <sz val="10"/>
      <color indexed="9"/>
      <name val="Arial"/>
      <family val="2"/>
    </font>
    <font>
      <b/>
      <sz val="18"/>
      <name val="Arial"/>
      <family val="2"/>
    </font>
    <font>
      <b/>
      <sz val="12"/>
      <name val="Arial"/>
      <family val="2"/>
    </font>
    <font>
      <vertAlign val="superscript"/>
      <sz val="10"/>
      <name val="Arial"/>
      <family val="2"/>
    </font>
    <font>
      <b/>
      <sz val="18"/>
      <color indexed="55"/>
      <name val="Arial"/>
      <family val="2"/>
    </font>
    <font>
      <b/>
      <sz val="8"/>
      <color indexed="10"/>
      <name val="Arial"/>
      <family val="2"/>
    </font>
    <font>
      <b/>
      <sz val="9"/>
      <name val="Arial"/>
      <family val="2"/>
    </font>
    <font>
      <sz val="9"/>
      <name val="Arial"/>
      <family val="2"/>
    </font>
    <font>
      <sz val="9"/>
      <color indexed="10"/>
      <name val="Arial"/>
      <family val="2"/>
    </font>
    <font>
      <u/>
      <sz val="10"/>
      <color indexed="12"/>
      <name val="Arial"/>
      <family val="2"/>
    </font>
    <font>
      <b/>
      <sz val="9"/>
      <color indexed="10"/>
      <name val="Arial"/>
      <family val="2"/>
    </font>
    <font>
      <sz val="10"/>
      <color indexed="23"/>
      <name val="Arial"/>
      <family val="2"/>
    </font>
    <font>
      <sz val="10"/>
      <color indexed="9"/>
      <name val="Arial"/>
      <family val="2"/>
    </font>
    <font>
      <b/>
      <sz val="10"/>
      <name val="Arial"/>
      <family val="2"/>
    </font>
    <font>
      <sz val="10"/>
      <color theme="0" tint="-0.249977111117893"/>
      <name val="Arial"/>
      <family val="2"/>
    </font>
    <font>
      <sz val="10"/>
      <name val="Arial"/>
      <family val="2"/>
    </font>
    <font>
      <sz val="10"/>
      <color theme="1"/>
      <name val="Arial"/>
      <family val="2"/>
    </font>
    <font>
      <b/>
      <sz val="16"/>
      <name val="Arial"/>
      <family val="2"/>
    </font>
    <font>
      <sz val="12"/>
      <name val="Arial"/>
      <family val="2"/>
    </font>
    <font>
      <b/>
      <sz val="12"/>
      <color theme="4"/>
      <name val="Arial"/>
      <family val="2"/>
    </font>
    <font>
      <u/>
      <sz val="12"/>
      <color indexed="12"/>
      <name val="Arial"/>
      <family val="2"/>
    </font>
    <font>
      <b/>
      <sz val="12"/>
      <color indexed="9"/>
      <name val="Arial"/>
      <family val="2"/>
    </font>
    <font>
      <b/>
      <u/>
      <sz val="14"/>
      <color indexed="12"/>
      <name val="Arial"/>
      <family val="2"/>
    </font>
    <font>
      <u/>
      <sz val="10"/>
      <color theme="0" tint="-0.249977111117893"/>
      <name val="Arial"/>
      <family val="2"/>
    </font>
    <font>
      <b/>
      <sz val="10"/>
      <color theme="0" tint="-0.249977111117893"/>
      <name val="Arial"/>
      <family val="2"/>
    </font>
    <font>
      <b/>
      <vertAlign val="superscript"/>
      <sz val="10"/>
      <name val="Arial"/>
      <family val="2"/>
    </font>
    <font>
      <b/>
      <u/>
      <sz val="12"/>
      <color indexed="12"/>
      <name val="Arial"/>
      <family val="2"/>
    </font>
    <font>
      <u/>
      <sz val="10"/>
      <name val="Arial"/>
      <family val="2"/>
    </font>
    <font>
      <i/>
      <sz val="16"/>
      <color theme="0"/>
      <name val="Arial"/>
      <family val="2"/>
    </font>
    <font>
      <b/>
      <sz val="14"/>
      <name val="Arial"/>
      <family val="2"/>
    </font>
    <font>
      <b/>
      <sz val="20"/>
      <name val="Arial"/>
      <family val="2"/>
    </font>
    <font>
      <sz val="10"/>
      <name val="Calibri"/>
      <family val="2"/>
    </font>
    <font>
      <b/>
      <u/>
      <sz val="11"/>
      <color indexed="12"/>
      <name val="Arial"/>
      <family val="2"/>
    </font>
    <font>
      <b/>
      <sz val="10"/>
      <color rgb="FFFF0000"/>
      <name val="Arial"/>
      <family val="2"/>
    </font>
    <font>
      <b/>
      <u/>
      <sz val="12"/>
      <name val="Arial"/>
      <family val="2"/>
    </font>
  </fonts>
  <fills count="9">
    <fill>
      <patternFill patternType="none"/>
    </fill>
    <fill>
      <patternFill patternType="gray125"/>
    </fill>
    <fill>
      <patternFill patternType="solid">
        <fgColor indexed="14"/>
        <bgColor indexed="33"/>
      </patternFill>
    </fill>
    <fill>
      <patternFill patternType="solid">
        <fgColor indexed="22"/>
        <bgColor indexed="31"/>
      </patternFill>
    </fill>
    <fill>
      <patternFill patternType="solid">
        <fgColor rgb="FFFFFF00"/>
        <bgColor indexed="64"/>
      </patternFill>
    </fill>
    <fill>
      <patternFill patternType="solid">
        <fgColor rgb="FFFFFF00"/>
        <bgColor indexed="33"/>
      </patternFill>
    </fill>
    <fill>
      <patternFill patternType="solid">
        <fgColor theme="8" tint="0.79998168889431442"/>
        <bgColor indexed="64"/>
      </patternFill>
    </fill>
    <fill>
      <patternFill patternType="solid">
        <fgColor theme="0"/>
        <bgColor indexed="33"/>
      </patternFill>
    </fill>
    <fill>
      <patternFill patternType="solid">
        <fgColor rgb="FFFFC000"/>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style="medium">
        <color indexed="64"/>
      </left>
      <right/>
      <top/>
      <bottom/>
      <diagonal/>
    </border>
    <border>
      <left/>
      <right style="medium">
        <color indexed="64"/>
      </right>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diagonal/>
    </border>
    <border>
      <left/>
      <right style="medium">
        <color indexed="64"/>
      </right>
      <top style="thin">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style="thin">
        <color indexed="64"/>
      </bottom>
      <diagonal/>
    </border>
    <border>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medium">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64"/>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348">
    <xf numFmtId="0" fontId="0" fillId="0" borderId="0" xfId="0"/>
    <xf numFmtId="0" fontId="0" fillId="0" borderId="0" xfId="0" applyAlignment="1">
      <alignment horizontal="center"/>
    </xf>
    <xf numFmtId="1" fontId="0" fillId="0" borderId="0" xfId="0" applyNumberFormat="1" applyAlignment="1">
      <alignment horizontal="center"/>
    </xf>
    <xf numFmtId="0" fontId="1" fillId="0" borderId="0" xfId="0" applyFont="1"/>
    <xf numFmtId="0" fontId="0" fillId="0" borderId="0" xfId="0" applyAlignment="1"/>
    <xf numFmtId="0" fontId="7" fillId="0" borderId="0" xfId="0" applyFont="1" applyAlignment="1">
      <alignment horizontal="center" vertical="center" wrapText="1"/>
    </xf>
    <xf numFmtId="0" fontId="8" fillId="0" borderId="1" xfId="0" applyNumberFormat="1" applyFont="1" applyFill="1" applyBorder="1" applyAlignment="1">
      <alignment horizontal="left" vertical="center" wrapText="1"/>
    </xf>
    <xf numFmtId="0" fontId="8" fillId="3" borderId="1" xfId="0" applyNumberFormat="1" applyFont="1" applyFill="1" applyBorder="1" applyAlignment="1">
      <alignment horizontal="left" vertical="center" wrapText="1"/>
    </xf>
    <xf numFmtId="0" fontId="9" fillId="0" borderId="1" xfId="0" applyNumberFormat="1" applyFont="1" applyBorder="1" applyAlignment="1">
      <alignment horizontal="left" vertical="center" wrapText="1"/>
    </xf>
    <xf numFmtId="0" fontId="9" fillId="0" borderId="1" xfId="0" applyNumberFormat="1" applyFont="1" applyBorder="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horizontal="left" vertical="top" wrapText="1"/>
    </xf>
    <xf numFmtId="0" fontId="9" fillId="0" borderId="0"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0" fillId="0" borderId="1" xfId="0" applyFont="1" applyBorder="1" applyAlignment="1">
      <alignment vertical="center"/>
    </xf>
    <xf numFmtId="0" fontId="0" fillId="0" borderId="0" xfId="0" applyBorder="1" applyAlignment="1">
      <alignment wrapText="1"/>
    </xf>
    <xf numFmtId="0" fontId="0" fillId="0" borderId="0" xfId="0" applyBorder="1" applyAlignment="1">
      <alignment vertical="center"/>
    </xf>
    <xf numFmtId="0" fontId="0" fillId="0" borderId="0" xfId="0" applyBorder="1" applyAlignment="1"/>
    <xf numFmtId="0" fontId="9" fillId="0" borderId="0" xfId="0" applyNumberFormat="1" applyFont="1" applyBorder="1" applyAlignment="1">
      <alignment horizontal="left" vertical="center" wrapText="1"/>
    </xf>
    <xf numFmtId="0" fontId="0" fillId="0" borderId="1" xfId="0" applyFont="1" applyBorder="1" applyAlignment="1">
      <alignment vertical="center" wrapText="1"/>
    </xf>
    <xf numFmtId="0" fontId="14" fillId="0" borderId="0" xfId="0" applyFont="1"/>
    <xf numFmtId="0" fontId="15" fillId="0" borderId="0" xfId="0" applyFont="1"/>
    <xf numFmtId="0" fontId="0" fillId="0" borderId="0" xfId="0" applyAlignment="1">
      <alignment horizontal="center" vertical="center"/>
    </xf>
    <xf numFmtId="0" fontId="0" fillId="0" borderId="0" xfId="0" applyAlignment="1">
      <alignment vertical="center"/>
    </xf>
    <xf numFmtId="0" fontId="0" fillId="0" borderId="0" xfId="0"/>
    <xf numFmtId="0" fontId="11" fillId="0" borderId="0" xfId="1" applyAlignment="1"/>
    <xf numFmtId="0" fontId="11" fillId="0" borderId="0" xfId="1"/>
    <xf numFmtId="0" fontId="0" fillId="0" borderId="4" xfId="0" applyBorder="1"/>
    <xf numFmtId="1" fontId="0" fillId="0" borderId="0" xfId="0" applyNumberFormat="1" applyBorder="1" applyAlignment="1">
      <alignment horizontal="center"/>
    </xf>
    <xf numFmtId="0" fontId="0" fillId="0" borderId="0" xfId="0" applyBorder="1" applyAlignment="1">
      <alignment horizontal="center"/>
    </xf>
    <xf numFmtId="0" fontId="0" fillId="0" borderId="5" xfId="0" applyBorder="1" applyAlignment="1">
      <alignment horizontal="center"/>
    </xf>
    <xf numFmtId="1" fontId="0" fillId="0" borderId="6" xfId="0" applyNumberFormat="1" applyBorder="1" applyAlignment="1">
      <alignment horizontal="center"/>
    </xf>
    <xf numFmtId="1" fontId="0" fillId="0" borderId="7" xfId="0" applyNumberForma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1" fontId="0" fillId="0" borderId="10" xfId="0" applyNumberFormat="1" applyBorder="1" applyAlignment="1">
      <alignment horizontal="center"/>
    </xf>
    <xf numFmtId="0" fontId="0" fillId="0" borderId="10" xfId="0" applyBorder="1" applyAlignment="1">
      <alignment horizontal="center"/>
    </xf>
    <xf numFmtId="1" fontId="0" fillId="0" borderId="9" xfId="0" applyNumberFormat="1" applyBorder="1" applyAlignment="1">
      <alignment horizontal="center"/>
    </xf>
    <xf numFmtId="165" fontId="0" fillId="0" borderId="10" xfId="0" applyNumberFormat="1" applyBorder="1" applyAlignment="1">
      <alignment horizontal="center"/>
    </xf>
    <xf numFmtId="165" fontId="0" fillId="0" borderId="11" xfId="0" applyNumberFormat="1" applyBorder="1" applyAlignment="1">
      <alignment horizontal="center"/>
    </xf>
    <xf numFmtId="1" fontId="0" fillId="0" borderId="11" xfId="0" applyNumberFormat="1" applyBorder="1" applyAlignment="1">
      <alignment horizontal="center"/>
    </xf>
    <xf numFmtId="0" fontId="16" fillId="0" borderId="0" xfId="0" applyFont="1"/>
    <xf numFmtId="0" fontId="16" fillId="0" borderId="0" xfId="0" applyFont="1" applyAlignment="1">
      <alignment horizontal="center"/>
    </xf>
    <xf numFmtId="2" fontId="16" fillId="0" borderId="0" xfId="0" applyNumberFormat="1" applyFont="1"/>
    <xf numFmtId="0" fontId="0" fillId="0" borderId="0" xfId="0"/>
    <xf numFmtId="0" fontId="19" fillId="0" borderId="0" xfId="0" applyFont="1"/>
    <xf numFmtId="0" fontId="20" fillId="0" borderId="0" xfId="0" applyFont="1"/>
    <xf numFmtId="0" fontId="21" fillId="0" borderId="0" xfId="0" applyFont="1"/>
    <xf numFmtId="0" fontId="22" fillId="0" borderId="0" xfId="1" applyFont="1"/>
    <xf numFmtId="0" fontId="24" fillId="0" borderId="0" xfId="1" applyFont="1" applyAlignment="1">
      <alignment horizontal="center"/>
    </xf>
    <xf numFmtId="0" fontId="18" fillId="4" borderId="0" xfId="1" applyFont="1" applyFill="1" applyAlignment="1" applyProtection="1">
      <alignment horizontal="center"/>
    </xf>
    <xf numFmtId="0" fontId="0" fillId="4" borderId="0" xfId="0" applyFill="1" applyAlignment="1" applyProtection="1">
      <alignment horizontal="center"/>
    </xf>
    <xf numFmtId="0" fontId="0" fillId="0" borderId="0" xfId="0"/>
    <xf numFmtId="0" fontId="25" fillId="0" borderId="0" xfId="1" applyFont="1" applyFill="1" applyAlignment="1">
      <alignment horizontal="center"/>
    </xf>
    <xf numFmtId="0" fontId="16" fillId="0" borderId="0" xfId="0" applyFont="1" applyFill="1" applyAlignment="1">
      <alignment horizontal="center"/>
    </xf>
    <xf numFmtId="0" fontId="0" fillId="0" borderId="0" xfId="0" applyBorder="1"/>
    <xf numFmtId="0" fontId="0" fillId="0" borderId="0" xfId="0"/>
    <xf numFmtId="0" fontId="0" fillId="0" borderId="17" xfId="0" applyBorder="1" applyAlignment="1">
      <alignment horizontal="center"/>
    </xf>
    <xf numFmtId="0" fontId="0" fillId="0" borderId="19" xfId="0" applyBorder="1"/>
    <xf numFmtId="0" fontId="0" fillId="0" borderId="20" xfId="0" applyBorder="1" applyAlignment="1">
      <alignment horizontal="center"/>
    </xf>
    <xf numFmtId="0" fontId="0" fillId="0" borderId="21" xfId="0" applyBorder="1" applyAlignment="1">
      <alignment horizontal="center"/>
    </xf>
    <xf numFmtId="0" fontId="0" fillId="0" borderId="15" xfId="0" applyBorder="1" applyAlignment="1">
      <alignment horizontal="center"/>
    </xf>
    <xf numFmtId="0" fontId="4" fillId="0" borderId="0" xfId="0" applyFont="1"/>
    <xf numFmtId="0" fontId="20" fillId="0" borderId="0" xfId="0" applyFont="1" applyAlignment="1">
      <alignment horizontal="center" vertical="center"/>
    </xf>
    <xf numFmtId="0" fontId="0" fillId="0" borderId="0" xfId="0" applyAlignment="1">
      <alignment horizontal="left" vertical="center"/>
    </xf>
    <xf numFmtId="0" fontId="0" fillId="0" borderId="0" xfId="0" applyAlignment="1">
      <alignment vertical="top" wrapText="1"/>
    </xf>
    <xf numFmtId="0" fontId="0" fillId="0" borderId="0" xfId="0" applyAlignment="1">
      <alignment horizontal="left" vertical="top" wrapText="1"/>
    </xf>
    <xf numFmtId="0" fontId="17" fillId="5" borderId="0" xfId="1" applyFont="1" applyFill="1" applyBorder="1" applyAlignment="1" applyProtection="1">
      <alignment horizontal="center"/>
    </xf>
    <xf numFmtId="0" fontId="0" fillId="0" borderId="0" xfId="0" applyFont="1" applyAlignment="1">
      <alignment horizontal="center" vertical="center" wrapText="1"/>
    </xf>
    <xf numFmtId="0" fontId="0" fillId="0" borderId="0" xfId="0" applyBorder="1" applyAlignment="1">
      <alignment horizontal="center" vertical="center"/>
    </xf>
    <xf numFmtId="0" fontId="0" fillId="0" borderId="0" xfId="0" applyAlignment="1">
      <alignment horizontal="left" indent="3"/>
    </xf>
    <xf numFmtId="0" fontId="18" fillId="0" borderId="0" xfId="1" applyFont="1" applyFill="1" applyBorder="1" applyAlignment="1" applyProtection="1">
      <alignment horizontal="center"/>
      <protection locked="0"/>
    </xf>
    <xf numFmtId="1" fontId="17" fillId="0" borderId="0" xfId="0" applyNumberFormat="1" applyFont="1" applyFill="1" applyBorder="1" applyAlignment="1">
      <alignment horizontal="center"/>
    </xf>
    <xf numFmtId="0" fontId="0" fillId="0" borderId="22" xfId="0" applyBorder="1"/>
    <xf numFmtId="0" fontId="0" fillId="0" borderId="23" xfId="0" applyBorder="1"/>
    <xf numFmtId="0" fontId="0" fillId="0" borderId="24" xfId="0" applyBorder="1"/>
    <xf numFmtId="0" fontId="0" fillId="0" borderId="25" xfId="0" applyBorder="1"/>
    <xf numFmtId="0" fontId="15" fillId="0" borderId="24" xfId="0" applyFont="1" applyFill="1" applyBorder="1" applyAlignment="1" applyProtection="1">
      <alignment horizontal="center"/>
      <protection locked="0" hidden="1"/>
    </xf>
    <xf numFmtId="0" fontId="4" fillId="0" borderId="26" xfId="0" applyFont="1" applyBorder="1" applyAlignment="1">
      <alignment vertical="center"/>
    </xf>
    <xf numFmtId="0" fontId="4" fillId="0" borderId="27" xfId="0" applyFont="1" applyBorder="1" applyAlignment="1">
      <alignment vertical="center"/>
    </xf>
    <xf numFmtId="164" fontId="2" fillId="2" borderId="0" xfId="0" applyNumberFormat="1" applyFont="1" applyFill="1" applyBorder="1" applyAlignment="1" applyProtection="1">
      <alignment horizontal="center"/>
      <protection locked="0" hidden="1"/>
    </xf>
    <xf numFmtId="164" fontId="26" fillId="0" borderId="0" xfId="0" applyNumberFormat="1" applyFont="1" applyFill="1" applyBorder="1" applyAlignment="1" applyProtection="1">
      <alignment horizontal="center"/>
      <protection hidden="1"/>
    </xf>
    <xf numFmtId="1" fontId="16" fillId="0" borderId="0" xfId="0" applyNumberFormat="1" applyFont="1" applyFill="1" applyBorder="1" applyAlignment="1">
      <alignment horizontal="center"/>
    </xf>
    <xf numFmtId="1" fontId="0" fillId="0" borderId="30" xfId="0" applyNumberFormat="1" applyBorder="1" applyAlignment="1">
      <alignment horizontal="center"/>
    </xf>
    <xf numFmtId="1" fontId="0" fillId="0" borderId="31" xfId="0" applyNumberFormat="1" applyBorder="1" applyAlignment="1">
      <alignment horizontal="center"/>
    </xf>
    <xf numFmtId="0" fontId="0" fillId="0" borderId="18" xfId="0" applyBorder="1" applyAlignment="1">
      <alignment horizontal="center"/>
    </xf>
    <xf numFmtId="0" fontId="3" fillId="0" borderId="0" xfId="0" applyFont="1" applyBorder="1" applyAlignment="1">
      <alignment horizontal="center"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15" xfId="0" applyFont="1" applyBorder="1" applyAlignment="1">
      <alignment vertical="center"/>
    </xf>
    <xf numFmtId="0" fontId="4" fillId="0" borderId="18" xfId="0" applyFont="1" applyBorder="1" applyAlignment="1">
      <alignment vertical="center"/>
    </xf>
    <xf numFmtId="0" fontId="0" fillId="0" borderId="0" xfId="0" applyFill="1"/>
    <xf numFmtId="164" fontId="4" fillId="0" borderId="0" xfId="0" applyNumberFormat="1" applyFont="1" applyFill="1" applyAlignment="1" applyProtection="1">
      <alignment vertical="center" wrapText="1"/>
      <protection locked="0" hidden="1"/>
    </xf>
    <xf numFmtId="164" fontId="23" fillId="0" borderId="0" xfId="0" applyNumberFormat="1" applyFont="1" applyFill="1" applyAlignment="1" applyProtection="1">
      <alignment vertical="center" wrapText="1"/>
      <protection locked="0" hidden="1"/>
    </xf>
    <xf numFmtId="0" fontId="10" fillId="0" borderId="1" xfId="0" applyNumberFormat="1" applyFont="1" applyBorder="1" applyAlignment="1">
      <alignment horizontal="left" vertical="top" wrapText="1"/>
    </xf>
    <xf numFmtId="0" fontId="7" fillId="0" borderId="0" xfId="0" applyFont="1" applyAlignment="1">
      <alignment horizontal="center" vertical="top" wrapText="1"/>
    </xf>
    <xf numFmtId="0" fontId="0" fillId="0" borderId="0" xfId="0" applyAlignment="1">
      <alignment vertical="top"/>
    </xf>
    <xf numFmtId="0" fontId="16" fillId="0" borderId="0" xfId="0" applyFont="1" applyFill="1"/>
    <xf numFmtId="0" fontId="0" fillId="0" borderId="0" xfId="0" applyFill="1" applyAlignment="1">
      <alignment horizontal="center"/>
    </xf>
    <xf numFmtId="2" fontId="0" fillId="0" borderId="0" xfId="0" applyNumberFormat="1" applyFont="1" applyFill="1" applyAlignment="1">
      <alignment vertical="top" wrapText="1"/>
    </xf>
    <xf numFmtId="1" fontId="0" fillId="0" borderId="0" xfId="0" applyNumberFormat="1" applyFill="1" applyAlignment="1">
      <alignment horizontal="center"/>
    </xf>
    <xf numFmtId="0" fontId="15" fillId="0" borderId="0" xfId="0" applyFont="1" applyAlignment="1">
      <alignment horizontal="center" vertical="center" wrapText="1"/>
    </xf>
    <xf numFmtId="2" fontId="11" fillId="0" borderId="0" xfId="1" applyNumberFormat="1" applyFill="1" applyAlignment="1">
      <alignment vertical="top" wrapText="1"/>
    </xf>
    <xf numFmtId="1" fontId="0" fillId="0" borderId="0" xfId="0" applyNumberFormat="1" applyAlignment="1">
      <alignment horizontal="center" vertical="center"/>
    </xf>
    <xf numFmtId="0" fontId="0" fillId="0" borderId="0" xfId="0" applyBorder="1"/>
    <xf numFmtId="0" fontId="17" fillId="7" borderId="0" xfId="1" applyFont="1" applyFill="1" applyBorder="1" applyAlignment="1" applyProtection="1">
      <alignment horizontal="center"/>
    </xf>
    <xf numFmtId="0" fontId="0" fillId="0" borderId="0" xfId="0" applyNumberFormat="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xf numFmtId="0" fontId="0" fillId="0" borderId="0" xfId="0" applyBorder="1"/>
    <xf numFmtId="0" fontId="0" fillId="0" borderId="15" xfId="0" applyBorder="1"/>
    <xf numFmtId="0" fontId="8" fillId="0" borderId="3" xfId="0" applyNumberFormat="1" applyFont="1" applyFill="1" applyBorder="1" applyAlignment="1">
      <alignment horizontal="left" vertical="center" wrapText="1"/>
    </xf>
    <xf numFmtId="0" fontId="0" fillId="0" borderId="0" xfId="0" applyBorder="1"/>
    <xf numFmtId="0" fontId="0" fillId="0" borderId="15" xfId="0" applyBorder="1"/>
    <xf numFmtId="0" fontId="1" fillId="0" borderId="0" xfId="0" applyFont="1" applyAlignment="1">
      <alignment horizontal="left"/>
    </xf>
    <xf numFmtId="0" fontId="0" fillId="0" borderId="0" xfId="0" applyFill="1" applyBorder="1" applyAlignment="1">
      <alignment vertical="top" wrapText="1"/>
    </xf>
    <xf numFmtId="0" fontId="0" fillId="0" borderId="0" xfId="0" applyFill="1" applyBorder="1" applyAlignment="1">
      <alignment vertical="top"/>
    </xf>
    <xf numFmtId="0" fontId="11" fillId="0" borderId="0" xfId="1" applyFont="1" applyAlignment="1">
      <alignment horizontal="center"/>
    </xf>
    <xf numFmtId="0" fontId="0" fillId="6" borderId="0" xfId="0" applyFill="1" applyBorder="1" applyAlignment="1">
      <alignment vertical="top"/>
    </xf>
    <xf numFmtId="0" fontId="0" fillId="6" borderId="15" xfId="0" applyFill="1" applyBorder="1" applyAlignment="1">
      <alignment vertical="top"/>
    </xf>
    <xf numFmtId="0" fontId="0" fillId="0" borderId="8" xfId="0" applyBorder="1"/>
    <xf numFmtId="0" fontId="0" fillId="0" borderId="0" xfId="0" applyFill="1" applyBorder="1"/>
    <xf numFmtId="0" fontId="4" fillId="0" borderId="4" xfId="0" applyFont="1" applyBorder="1"/>
    <xf numFmtId="0" fontId="0" fillId="0" borderId="29" xfId="0" applyFont="1" applyBorder="1"/>
    <xf numFmtId="0" fontId="0" fillId="6" borderId="15" xfId="0" applyFont="1" applyFill="1" applyBorder="1"/>
    <xf numFmtId="0" fontId="15" fillId="0" borderId="0" xfId="0" applyFont="1" applyBorder="1" applyAlignment="1">
      <alignment vertical="center"/>
    </xf>
    <xf numFmtId="0" fontId="0" fillId="0" borderId="0" xfId="0" applyFont="1" applyFill="1" applyBorder="1" applyAlignment="1">
      <alignment vertical="top" wrapText="1"/>
    </xf>
    <xf numFmtId="0" fontId="0" fillId="0" borderId="0" xfId="0" applyFill="1" applyBorder="1" applyAlignment="1">
      <alignment horizontal="center"/>
    </xf>
    <xf numFmtId="0" fontId="0" fillId="0" borderId="0" xfId="0" applyFill="1" applyBorder="1" applyAlignment="1"/>
    <xf numFmtId="0" fontId="0" fillId="0" borderId="4" xfId="0" applyFill="1" applyBorder="1" applyAlignment="1">
      <alignment horizontal="center"/>
    </xf>
    <xf numFmtId="0" fontId="0" fillId="0" borderId="32" xfId="0" applyFill="1" applyBorder="1" applyAlignment="1">
      <alignment horizontal="center"/>
    </xf>
    <xf numFmtId="0" fontId="0" fillId="0" borderId="29" xfId="0" applyFill="1" applyBorder="1" applyAlignment="1">
      <alignment horizontal="center"/>
    </xf>
    <xf numFmtId="0" fontId="0" fillId="0" borderId="0" xfId="0" applyFill="1" applyBorder="1" applyAlignment="1">
      <alignment vertical="center"/>
    </xf>
    <xf numFmtId="0" fontId="0" fillId="0" borderId="6" xfId="0" applyBorder="1" applyAlignment="1">
      <alignment horizontal="center"/>
    </xf>
    <xf numFmtId="0" fontId="0" fillId="0" borderId="7" xfId="0" applyBorder="1" applyAlignment="1">
      <alignment horizontal="center"/>
    </xf>
    <xf numFmtId="0" fontId="0" fillId="0" borderId="0" xfId="0" applyBorder="1"/>
    <xf numFmtId="0" fontId="0" fillId="0" borderId="5" xfId="0" applyBorder="1"/>
    <xf numFmtId="0" fontId="0" fillId="0" borderId="50" xfId="0" applyBorder="1"/>
    <xf numFmtId="0" fontId="11" fillId="0" borderId="0" xfId="1" applyAlignment="1">
      <alignment horizontal="left"/>
    </xf>
    <xf numFmtId="0" fontId="0" fillId="0" borderId="0" xfId="0" applyBorder="1"/>
    <xf numFmtId="0" fontId="28" fillId="0" borderId="0" xfId="1" applyFont="1" applyAlignment="1">
      <alignment horizontal="center" vertical="center"/>
    </xf>
    <xf numFmtId="0" fontId="3" fillId="0" borderId="0" xfId="0" applyFont="1" applyBorder="1" applyAlignment="1">
      <alignment horizontal="center" vertical="center"/>
    </xf>
    <xf numFmtId="0" fontId="11" fillId="0" borderId="5" xfId="1" applyBorder="1"/>
    <xf numFmtId="0" fontId="11" fillId="0" borderId="0" xfId="1" applyAlignment="1">
      <alignment horizontal="center" vertical="center"/>
    </xf>
    <xf numFmtId="0" fontId="11" fillId="0" borderId="0" xfId="1" applyAlignment="1">
      <alignment horizontal="center" vertical="center" wrapText="1"/>
    </xf>
    <xf numFmtId="0" fontId="0" fillId="0" borderId="0" xfId="0" applyBorder="1"/>
    <xf numFmtId="0" fontId="3" fillId="0" borderId="0" xfId="0" applyFont="1" applyBorder="1" applyAlignment="1">
      <alignment horizontal="center" vertical="center"/>
    </xf>
    <xf numFmtId="0" fontId="0" fillId="0" borderId="0" xfId="0" applyBorder="1"/>
    <xf numFmtId="0" fontId="32" fillId="0" borderId="0" xfId="0" applyFont="1"/>
    <xf numFmtId="0" fontId="11" fillId="0" borderId="0" xfId="1" applyBorder="1"/>
    <xf numFmtId="0" fontId="0" fillId="0" borderId="0" xfId="0" applyBorder="1" applyAlignment="1">
      <alignment horizontal="left" vertical="center"/>
    </xf>
    <xf numFmtId="0" fontId="0" fillId="0" borderId="4" xfId="0" applyBorder="1" applyAlignment="1">
      <alignment horizontal="left" vertical="center"/>
    </xf>
    <xf numFmtId="0" fontId="25" fillId="0" borderId="4" xfId="1" applyFont="1" applyFill="1" applyBorder="1" applyAlignment="1">
      <alignment horizontal="center"/>
    </xf>
    <xf numFmtId="164" fontId="26" fillId="0" borderId="5" xfId="0" applyNumberFormat="1" applyFont="1" applyFill="1" applyBorder="1" applyAlignment="1" applyProtection="1">
      <alignment horizontal="center"/>
      <protection hidden="1"/>
    </xf>
    <xf numFmtId="0" fontId="31" fillId="0" borderId="4" xfId="0" applyFont="1" applyBorder="1" applyAlignment="1">
      <alignment horizontal="left"/>
    </xf>
    <xf numFmtId="0" fontId="31" fillId="0" borderId="5" xfId="0" applyFont="1" applyBorder="1" applyAlignment="1">
      <alignment horizontal="left"/>
    </xf>
    <xf numFmtId="0" fontId="31" fillId="0" borderId="0" xfId="0" applyFont="1" applyBorder="1" applyAlignment="1">
      <alignment horizontal="left"/>
    </xf>
    <xf numFmtId="0" fontId="24" fillId="0" borderId="0" xfId="1" applyFont="1" applyAlignment="1">
      <alignment horizontal="center" vertical="center"/>
    </xf>
    <xf numFmtId="0" fontId="32" fillId="0" borderId="0" xfId="0" applyFont="1" applyAlignment="1">
      <alignment vertical="center"/>
    </xf>
    <xf numFmtId="0" fontId="24" fillId="0" borderId="0" xfId="1" applyFont="1" applyAlignment="1">
      <alignment horizontal="center" vertical="center" wrapText="1"/>
    </xf>
    <xf numFmtId="0" fontId="25" fillId="0" borderId="50" xfId="1" applyFont="1" applyFill="1" applyBorder="1" applyAlignment="1">
      <alignment horizontal="center"/>
    </xf>
    <xf numFmtId="164" fontId="26" fillId="0" borderId="52" xfId="0" applyNumberFormat="1" applyFont="1" applyFill="1" applyBorder="1" applyAlignment="1" applyProtection="1">
      <alignment horizontal="center"/>
      <protection hidden="1"/>
    </xf>
    <xf numFmtId="0" fontId="0" fillId="0" borderId="50" xfId="0" applyBorder="1" applyAlignment="1">
      <alignment horizontal="center"/>
    </xf>
    <xf numFmtId="0" fontId="0" fillId="0" borderId="52" xfId="0" applyBorder="1" applyAlignment="1">
      <alignment horizontal="center"/>
    </xf>
    <xf numFmtId="0" fontId="0" fillId="0" borderId="4" xfId="0" applyBorder="1" applyAlignment="1">
      <alignment horizontal="left"/>
    </xf>
    <xf numFmtId="0" fontId="25" fillId="0" borderId="4" xfId="1" applyFont="1" applyFill="1" applyBorder="1" applyAlignment="1">
      <alignment horizontal="left"/>
    </xf>
    <xf numFmtId="0" fontId="11" fillId="0" borderId="5" xfId="1" applyBorder="1" applyAlignment="1">
      <alignment vertical="center"/>
    </xf>
    <xf numFmtId="0" fontId="0" fillId="0" borderId="5" xfId="0" applyBorder="1" applyAlignment="1">
      <alignment vertical="center"/>
    </xf>
    <xf numFmtId="164" fontId="26" fillId="0" borderId="5" xfId="0" applyNumberFormat="1" applyFont="1" applyFill="1" applyBorder="1" applyAlignment="1" applyProtection="1">
      <alignment horizontal="center" vertical="center"/>
      <protection hidden="1"/>
    </xf>
    <xf numFmtId="0" fontId="11" fillId="0" borderId="5" xfId="1" applyBorder="1" applyAlignment="1">
      <alignment horizontal="left" vertical="center"/>
    </xf>
    <xf numFmtId="0" fontId="0" fillId="0" borderId="5" xfId="0" applyBorder="1" applyAlignment="1">
      <alignment horizontal="center" vertical="center"/>
    </xf>
    <xf numFmtId="0" fontId="15" fillId="0" borderId="4" xfId="0" applyFont="1" applyBorder="1"/>
    <xf numFmtId="0" fontId="15" fillId="0" borderId="4" xfId="0" applyFont="1" applyBorder="1" applyAlignment="1">
      <alignment vertical="center"/>
    </xf>
    <xf numFmtId="0" fontId="0" fillId="0" borderId="4" xfId="0" applyBorder="1" applyAlignment="1">
      <alignment horizontal="center"/>
    </xf>
    <xf numFmtId="0" fontId="15" fillId="0" borderId="4" xfId="0" applyFont="1" applyBorder="1" applyAlignment="1">
      <alignment horizontal="left"/>
    </xf>
    <xf numFmtId="0" fontId="16" fillId="0" borderId="4" xfId="0" applyFont="1" applyBorder="1"/>
    <xf numFmtId="2" fontId="0" fillId="0" borderId="4" xfId="0" applyNumberFormat="1" applyFont="1" applyFill="1" applyBorder="1" applyAlignment="1">
      <alignment vertical="top" wrapText="1"/>
    </xf>
    <xf numFmtId="0" fontId="0" fillId="0" borderId="4" xfId="0" applyFill="1" applyBorder="1"/>
    <xf numFmtId="0" fontId="0" fillId="0" borderId="5" xfId="0" applyBorder="1" applyAlignment="1">
      <alignment vertical="top" wrapText="1"/>
    </xf>
    <xf numFmtId="0" fontId="15" fillId="0" borderId="4" xfId="0" applyFont="1" applyBorder="1" applyAlignment="1">
      <alignment horizontal="left" vertical="center"/>
    </xf>
    <xf numFmtId="0" fontId="34" fillId="0" borderId="0" xfId="1" applyFont="1" applyAlignment="1">
      <alignment horizontal="center" vertical="center" wrapText="1"/>
    </xf>
    <xf numFmtId="0" fontId="0" fillId="0" borderId="0" xfId="0" applyBorder="1" applyAlignment="1">
      <alignment vertical="top" wrapText="1"/>
    </xf>
    <xf numFmtId="0" fontId="31" fillId="0" borderId="0" xfId="0" applyFont="1" applyBorder="1" applyAlignment="1">
      <alignment horizontal="center" vertical="center"/>
    </xf>
    <xf numFmtId="0" fontId="0" fillId="0" borderId="5" xfId="0" applyFill="1" applyBorder="1"/>
    <xf numFmtId="0" fontId="15" fillId="0" borderId="4" xfId="0" applyFont="1" applyBorder="1" applyAlignment="1">
      <alignment horizontal="left" vertical="center" wrapText="1"/>
    </xf>
    <xf numFmtId="0" fontId="0" fillId="0" borderId="0" xfId="0" applyBorder="1" applyAlignment="1">
      <alignment horizontal="left" vertical="top"/>
    </xf>
    <xf numFmtId="0" fontId="0" fillId="0" borderId="5" xfId="0" applyBorder="1" applyAlignment="1">
      <alignment horizontal="left" vertical="top"/>
    </xf>
    <xf numFmtId="0" fontId="3" fillId="0" borderId="0" xfId="0" applyFont="1" applyBorder="1" applyAlignment="1">
      <alignment horizontal="center" vertical="center"/>
    </xf>
    <xf numFmtId="0" fontId="15" fillId="0" borderId="4" xfId="0" applyFont="1" applyBorder="1" applyAlignment="1">
      <alignment horizontal="left" vertical="center" wrapText="1"/>
    </xf>
    <xf numFmtId="0" fontId="0" fillId="0" borderId="0" xfId="0" applyFill="1" applyBorder="1" applyAlignment="1">
      <alignment horizontal="left" vertical="top" wrapText="1"/>
    </xf>
    <xf numFmtId="2" fontId="11" fillId="0" borderId="0" xfId="1" applyNumberFormat="1" applyFill="1" applyAlignment="1">
      <alignment horizontal="center" vertical="top" wrapText="1"/>
    </xf>
    <xf numFmtId="1" fontId="11" fillId="0" borderId="0" xfId="1" applyNumberFormat="1" applyBorder="1" applyAlignment="1">
      <alignment horizontal="center" vertical="center" wrapText="1"/>
    </xf>
    <xf numFmtId="0" fontId="11" fillId="0" borderId="0" xfId="1" applyBorder="1" applyAlignment="1">
      <alignment horizontal="center" vertical="center" wrapText="1"/>
    </xf>
    <xf numFmtId="0" fontId="11" fillId="0" borderId="0" xfId="1" applyBorder="1" applyAlignment="1">
      <alignment horizontal="center" vertical="center"/>
    </xf>
    <xf numFmtId="0" fontId="4" fillId="0" borderId="0" xfId="0" applyFont="1" applyBorder="1" applyAlignment="1">
      <alignment vertical="center"/>
    </xf>
    <xf numFmtId="0" fontId="4" fillId="0" borderId="0" xfId="0" applyFont="1" applyBorder="1"/>
    <xf numFmtId="2" fontId="11" fillId="0" borderId="0" xfId="1" applyNumberFormat="1" applyFill="1" applyBorder="1" applyAlignment="1">
      <alignment horizontal="center" vertical="top" wrapText="1"/>
    </xf>
    <xf numFmtId="2" fontId="0" fillId="0" borderId="0" xfId="0" applyNumberFormat="1" applyFont="1" applyFill="1" applyBorder="1" applyAlignment="1">
      <alignment vertical="top" wrapText="1"/>
    </xf>
    <xf numFmtId="0" fontId="16" fillId="0" borderId="0" xfId="0" applyFont="1" applyFill="1" applyBorder="1"/>
    <xf numFmtId="1" fontId="11" fillId="0" borderId="0" xfId="1" applyNumberFormat="1" applyFill="1" applyBorder="1" applyAlignment="1">
      <alignment horizontal="center" vertical="center" wrapText="1"/>
    </xf>
    <xf numFmtId="0" fontId="11" fillId="0" borderId="0" xfId="1" applyFill="1" applyBorder="1" applyAlignment="1">
      <alignment horizontal="center" vertical="center" wrapText="1"/>
    </xf>
    <xf numFmtId="0" fontId="11" fillId="0" borderId="0" xfId="1" applyFill="1" applyBorder="1" applyAlignment="1">
      <alignment horizontal="center" vertical="center"/>
    </xf>
    <xf numFmtId="1" fontId="0" fillId="0" borderId="0" xfId="0" applyNumberFormat="1" applyFill="1" applyBorder="1" applyAlignment="1">
      <alignment horizontal="center"/>
    </xf>
    <xf numFmtId="0" fontId="4" fillId="0" borderId="0" xfId="0" applyFont="1" applyFill="1" applyBorder="1" applyAlignment="1">
      <alignment vertical="center"/>
    </xf>
    <xf numFmtId="0" fontId="29" fillId="0" borderId="0" xfId="0" applyFont="1" applyFill="1" applyBorder="1"/>
    <xf numFmtId="0" fontId="11" fillId="0" borderId="0" xfId="1" applyFill="1" applyBorder="1"/>
    <xf numFmtId="0" fontId="0" fillId="0" borderId="0" xfId="0" applyFont="1" applyFill="1" applyBorder="1"/>
    <xf numFmtId="0" fontId="16" fillId="0" borderId="5" xfId="0" applyFont="1" applyFill="1" applyBorder="1"/>
    <xf numFmtId="0" fontId="16" fillId="0" borderId="50" xfId="0" applyFont="1" applyBorder="1"/>
    <xf numFmtId="2" fontId="0" fillId="0" borderId="0" xfId="0" applyNumberFormat="1" applyFont="1" applyFill="1" applyBorder="1" applyAlignment="1">
      <alignment horizontal="center" vertical="center" wrapText="1"/>
    </xf>
    <xf numFmtId="0" fontId="0" fillId="6" borderId="0" xfId="0" applyFill="1" applyBorder="1" applyAlignment="1">
      <alignment horizontal="left" vertical="top" wrapText="1"/>
    </xf>
    <xf numFmtId="0" fontId="3" fillId="0" borderId="0" xfId="0" applyFont="1" applyBorder="1" applyAlignment="1">
      <alignment horizontal="center" vertical="center"/>
    </xf>
    <xf numFmtId="0" fontId="0" fillId="6" borderId="5" xfId="0" applyFill="1" applyBorder="1" applyAlignment="1">
      <alignment horizontal="left" vertical="top" wrapText="1"/>
    </xf>
    <xf numFmtId="0" fontId="15" fillId="0" borderId="4" xfId="0" applyFont="1" applyBorder="1" applyAlignment="1">
      <alignment horizontal="left" vertical="center" wrapText="1"/>
    </xf>
    <xf numFmtId="0" fontId="3" fillId="0" borderId="0" xfId="0" applyFont="1" applyBorder="1" applyAlignment="1">
      <alignment horizontal="center" vertical="center" wrapText="1"/>
    </xf>
    <xf numFmtId="0" fontId="0" fillId="0" borderId="4" xfId="0" applyBorder="1" applyAlignment="1">
      <alignment horizontal="left" vertical="center" wrapText="1"/>
    </xf>
    <xf numFmtId="0" fontId="32" fillId="0" borderId="0" xfId="0" applyFont="1" applyAlignment="1">
      <alignment horizontal="center" vertical="center"/>
    </xf>
    <xf numFmtId="0" fontId="4" fillId="0" borderId="0" xfId="0" applyFont="1" applyAlignment="1">
      <alignment horizontal="center" vertical="center" wrapText="1"/>
    </xf>
    <xf numFmtId="0" fontId="19"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28" fillId="0" borderId="0" xfId="1" applyFont="1" applyAlignment="1">
      <alignment horizontal="center"/>
    </xf>
    <xf numFmtId="0" fontId="28" fillId="0" borderId="0" xfId="1" applyFont="1" applyAlignment="1">
      <alignment horizontal="center" vertical="center"/>
    </xf>
    <xf numFmtId="0" fontId="0" fillId="0" borderId="0" xfId="0" applyAlignment="1">
      <alignment horizontal="left"/>
    </xf>
    <xf numFmtId="0" fontId="30" fillId="8" borderId="47" xfId="0" applyFont="1" applyFill="1" applyBorder="1" applyAlignment="1">
      <alignment horizontal="center" wrapText="1"/>
    </xf>
    <xf numFmtId="0" fontId="30" fillId="8" borderId="48" xfId="0" applyFont="1" applyFill="1" applyBorder="1" applyAlignment="1">
      <alignment horizontal="center" wrapText="1"/>
    </xf>
    <xf numFmtId="0" fontId="30" fillId="8" borderId="49" xfId="0" applyFont="1" applyFill="1" applyBorder="1" applyAlignment="1">
      <alignment horizontal="center" wrapText="1"/>
    </xf>
    <xf numFmtId="0" fontId="30" fillId="8" borderId="4" xfId="0" applyFont="1" applyFill="1" applyBorder="1" applyAlignment="1">
      <alignment horizontal="center" wrapText="1"/>
    </xf>
    <xf numFmtId="0" fontId="30" fillId="8" borderId="0" xfId="0" applyFont="1" applyFill="1" applyBorder="1" applyAlignment="1">
      <alignment horizontal="center" wrapText="1"/>
    </xf>
    <xf numFmtId="0" fontId="30" fillId="8" borderId="5" xfId="0" applyFont="1" applyFill="1" applyBorder="1" applyAlignment="1">
      <alignment horizontal="center" wrapText="1"/>
    </xf>
    <xf numFmtId="0" fontId="30" fillId="8" borderId="50" xfId="0" applyFont="1" applyFill="1" applyBorder="1" applyAlignment="1">
      <alignment horizontal="center" wrapText="1"/>
    </xf>
    <xf numFmtId="0" fontId="30" fillId="8" borderId="51" xfId="0" applyFont="1" applyFill="1" applyBorder="1" applyAlignment="1">
      <alignment horizontal="center" wrapText="1"/>
    </xf>
    <xf numFmtId="0" fontId="30" fillId="8" borderId="52" xfId="0" applyFont="1" applyFill="1" applyBorder="1" applyAlignment="1">
      <alignment horizont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3" xfId="0" applyFont="1" applyBorder="1" applyAlignment="1">
      <alignment horizontal="center" vertical="center"/>
    </xf>
    <xf numFmtId="0" fontId="3" fillId="0" borderId="42" xfId="0" applyFont="1" applyBorder="1" applyAlignment="1">
      <alignment horizontal="center" vertical="center"/>
    </xf>
    <xf numFmtId="0" fontId="6" fillId="0" borderId="30" xfId="0" applyFont="1" applyBorder="1" applyAlignment="1">
      <alignment horizontal="center" vertical="center"/>
    </xf>
    <xf numFmtId="0" fontId="6" fillId="0" borderId="8" xfId="0" applyFont="1" applyBorder="1" applyAlignment="1">
      <alignment horizontal="center" vertical="center"/>
    </xf>
    <xf numFmtId="0" fontId="6" fillId="0" borderId="43"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0" fillId="6" borderId="0" xfId="0" applyFill="1" applyAlignment="1">
      <alignment horizontal="left" vertical="center" wrapText="1"/>
    </xf>
    <xf numFmtId="0" fontId="3" fillId="0" borderId="1" xfId="0" applyFont="1" applyBorder="1" applyAlignment="1">
      <alignment horizontal="center" vertical="center"/>
    </xf>
    <xf numFmtId="0" fontId="11" fillId="0" borderId="0" xfId="1" applyAlignment="1">
      <alignment horizontal="center" vertical="center"/>
    </xf>
    <xf numFmtId="0" fontId="3" fillId="0" borderId="44" xfId="0" applyFont="1" applyBorder="1" applyAlignment="1">
      <alignment horizontal="center" vertical="center"/>
    </xf>
    <xf numFmtId="0" fontId="3" fillId="0" borderId="8" xfId="0" applyFont="1" applyBorder="1" applyAlignment="1">
      <alignment horizontal="center" vertical="center"/>
    </xf>
    <xf numFmtId="0" fontId="3" fillId="0" borderId="45" xfId="0" applyFont="1" applyBorder="1" applyAlignment="1">
      <alignment horizontal="center" vertical="center"/>
    </xf>
    <xf numFmtId="0" fontId="0" fillId="6" borderId="0" xfId="0" applyFill="1" applyBorder="1" applyAlignment="1">
      <alignment horizontal="left" vertical="top" wrapText="1"/>
    </xf>
    <xf numFmtId="0" fontId="0" fillId="6" borderId="15" xfId="0" applyFill="1" applyBorder="1" applyAlignment="1">
      <alignment horizontal="left" vertical="top" wrapText="1"/>
    </xf>
    <xf numFmtId="0" fontId="11" fillId="6" borderId="0" xfId="1" applyFill="1" applyBorder="1" applyAlignment="1">
      <alignment horizontal="left"/>
    </xf>
    <xf numFmtId="0" fontId="11" fillId="6" borderId="15" xfId="1" applyFill="1" applyBorder="1" applyAlignment="1">
      <alignment horizontal="left"/>
    </xf>
    <xf numFmtId="0" fontId="0" fillId="6" borderId="0" xfId="0" applyFont="1" applyFill="1" applyBorder="1" applyAlignment="1">
      <alignment horizontal="left" vertical="top" wrapText="1"/>
    </xf>
    <xf numFmtId="0" fontId="0" fillId="6" borderId="15" xfId="0" applyFont="1" applyFill="1" applyBorder="1" applyAlignment="1">
      <alignment horizontal="left" vertical="top" wrapText="1"/>
    </xf>
    <xf numFmtId="0" fontId="0" fillId="6" borderId="0" xfId="0" applyFill="1" applyBorder="1" applyAlignment="1">
      <alignment vertical="top" wrapText="1"/>
    </xf>
    <xf numFmtId="0" fontId="0" fillId="6" borderId="46" xfId="0" applyFill="1" applyBorder="1" applyAlignment="1">
      <alignment vertical="top" wrapText="1"/>
    </xf>
    <xf numFmtId="0" fontId="0" fillId="6" borderId="5" xfId="0" applyFill="1" applyBorder="1" applyAlignment="1">
      <alignment horizontal="left" vertical="top" wrapText="1"/>
    </xf>
    <xf numFmtId="0" fontId="0" fillId="6" borderId="52" xfId="0" applyFill="1" applyBorder="1" applyAlignment="1">
      <alignment horizontal="left" vertical="top" wrapText="1"/>
    </xf>
    <xf numFmtId="0" fontId="31" fillId="0" borderId="47" xfId="0" applyFont="1" applyBorder="1" applyAlignment="1">
      <alignment horizontal="left"/>
    </xf>
    <xf numFmtId="0" fontId="31" fillId="0" borderId="49" xfId="0" applyFont="1" applyBorder="1" applyAlignment="1">
      <alignment horizontal="left"/>
    </xf>
    <xf numFmtId="0" fontId="11" fillId="0" borderId="5" xfId="1" applyBorder="1" applyAlignment="1">
      <alignment horizontal="left" vertical="center" wrapText="1"/>
    </xf>
    <xf numFmtId="0" fontId="15" fillId="0" borderId="4" xfId="0" applyFont="1" applyBorder="1" applyAlignment="1">
      <alignment horizontal="left" vertical="center" wrapText="1"/>
    </xf>
    <xf numFmtId="0" fontId="0" fillId="6" borderId="5" xfId="0" applyFill="1" applyBorder="1" applyAlignment="1">
      <alignment horizontal="left" wrapText="1"/>
    </xf>
    <xf numFmtId="0" fontId="31" fillId="0" borderId="47" xfId="0" applyFont="1" applyBorder="1" applyAlignment="1">
      <alignment horizontal="center"/>
    </xf>
    <xf numFmtId="0" fontId="31" fillId="0" borderId="49" xfId="0" applyFont="1" applyBorder="1" applyAlignment="1">
      <alignment horizontal="center"/>
    </xf>
    <xf numFmtId="0" fontId="15" fillId="0" borderId="4" xfId="0" applyFont="1" applyBorder="1" applyAlignment="1">
      <alignment horizontal="center" vertical="center" wrapText="1"/>
    </xf>
    <xf numFmtId="0" fontId="32" fillId="0" borderId="0" xfId="0" applyFont="1" applyAlignment="1">
      <alignment horizontal="center"/>
    </xf>
    <xf numFmtId="0" fontId="3" fillId="0" borderId="30" xfId="0" applyFont="1" applyBorder="1" applyAlignment="1">
      <alignment horizontal="center" vertical="center"/>
    </xf>
    <xf numFmtId="0" fontId="3" fillId="0" borderId="4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1" fillId="0" borderId="47" xfId="0" applyFont="1" applyBorder="1" applyAlignment="1">
      <alignment horizontal="center" vertical="center"/>
    </xf>
    <xf numFmtId="0" fontId="31" fillId="0" borderId="48" xfId="0" applyFont="1" applyBorder="1" applyAlignment="1">
      <alignment horizontal="center" vertical="center"/>
    </xf>
    <xf numFmtId="0" fontId="31" fillId="0" borderId="49" xfId="0" applyFont="1" applyBorder="1" applyAlignment="1">
      <alignment horizontal="center" vertical="center"/>
    </xf>
    <xf numFmtId="2" fontId="0" fillId="0" borderId="47" xfId="0" applyNumberFormat="1" applyFont="1" applyFill="1" applyBorder="1" applyAlignment="1">
      <alignment horizontal="center" vertical="center" wrapText="1"/>
    </xf>
    <xf numFmtId="2" fontId="0" fillId="0" borderId="48" xfId="0" applyNumberFormat="1" applyFont="1" applyFill="1" applyBorder="1" applyAlignment="1">
      <alignment horizontal="center" vertical="center" wrapText="1"/>
    </xf>
    <xf numFmtId="2" fontId="0" fillId="0" borderId="49" xfId="0" applyNumberFormat="1" applyFont="1" applyFill="1" applyBorder="1" applyAlignment="1">
      <alignment horizontal="center" vertical="center" wrapText="1"/>
    </xf>
    <xf numFmtId="2" fontId="0" fillId="0" borderId="4" xfId="0"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2" fontId="0" fillId="0" borderId="5" xfId="0" applyNumberFormat="1" applyFont="1" applyFill="1" applyBorder="1" applyAlignment="1">
      <alignment horizontal="center" vertical="center" wrapText="1"/>
    </xf>
    <xf numFmtId="2" fontId="0" fillId="0" borderId="50" xfId="0" applyNumberFormat="1" applyFont="1" applyFill="1" applyBorder="1" applyAlignment="1">
      <alignment horizontal="center" vertical="center" wrapText="1"/>
    </xf>
    <xf numFmtId="2" fontId="0" fillId="0" borderId="51" xfId="0" applyNumberFormat="1" applyFont="1" applyFill="1" applyBorder="1" applyAlignment="1">
      <alignment horizontal="center" vertical="center" wrapText="1"/>
    </xf>
    <xf numFmtId="2" fontId="0" fillId="0" borderId="52" xfId="0" applyNumberFormat="1" applyFont="1" applyFill="1" applyBorder="1" applyAlignment="1">
      <alignment horizontal="center" vertical="center" wrapText="1"/>
    </xf>
    <xf numFmtId="0" fontId="0" fillId="6" borderId="51" xfId="0" applyFill="1" applyBorder="1" applyAlignment="1">
      <alignment horizontal="left" vertical="top" wrapText="1"/>
    </xf>
    <xf numFmtId="0" fontId="32" fillId="0" borderId="0" xfId="0" applyFont="1" applyAlignment="1">
      <alignment horizontal="center" vertical="center"/>
    </xf>
    <xf numFmtId="0" fontId="11" fillId="0" borderId="4" xfId="1" applyBorder="1" applyAlignment="1">
      <alignment horizontal="center" vertical="center" wrapText="1"/>
    </xf>
    <xf numFmtId="0" fontId="0" fillId="6" borderId="0" xfId="0" applyFill="1" applyBorder="1" applyAlignment="1">
      <alignment horizontal="left" vertical="top"/>
    </xf>
    <xf numFmtId="0" fontId="15" fillId="0" borderId="30" xfId="0" applyFont="1" applyFill="1" applyBorder="1" applyAlignment="1">
      <alignment horizontal="center" vertical="top" wrapText="1"/>
    </xf>
    <xf numFmtId="0" fontId="15" fillId="0" borderId="8" xfId="0" applyFont="1" applyFill="1" applyBorder="1" applyAlignment="1">
      <alignment horizontal="center" vertical="top" wrapText="1"/>
    </xf>
    <xf numFmtId="0" fontId="15" fillId="0" borderId="43" xfId="0" applyFont="1" applyFill="1" applyBorder="1" applyAlignment="1">
      <alignment horizontal="center" vertical="top" wrapText="1"/>
    </xf>
    <xf numFmtId="0" fontId="0" fillId="0" borderId="12" xfId="0" applyFill="1" applyBorder="1" applyAlignment="1">
      <alignment horizontal="left" vertical="top" wrapText="1"/>
    </xf>
    <xf numFmtId="0" fontId="0" fillId="0" borderId="0" xfId="0" applyFill="1" applyBorder="1" applyAlignment="1">
      <alignment horizontal="left" vertical="top" wrapText="1"/>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0" fillId="0" borderId="16" xfId="0" applyFill="1" applyBorder="1" applyAlignment="1">
      <alignment horizontal="left" vertical="top" wrapText="1"/>
    </xf>
    <xf numFmtId="0" fontId="15" fillId="0" borderId="4" xfId="0" applyFont="1" applyBorder="1" applyAlignment="1">
      <alignment horizontal="left" vertical="center"/>
    </xf>
    <xf numFmtId="0" fontId="0" fillId="0" borderId="5" xfId="0" applyBorder="1" applyAlignment="1">
      <alignment horizontal="center" vertical="center"/>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50" xfId="0" applyBorder="1" applyAlignment="1">
      <alignment horizontal="left" vertic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2" xfId="0" applyFont="1" applyBorder="1" applyAlignment="1">
      <alignment horizontal="center" vertical="center" wrapText="1"/>
    </xf>
    <xf numFmtId="0" fontId="8" fillId="3" borderId="2" xfId="0" applyNumberFormat="1" applyFont="1" applyFill="1" applyBorder="1" applyAlignment="1">
      <alignment horizontal="left" vertical="center" wrapText="1"/>
    </xf>
    <xf numFmtId="0" fontId="12" fillId="0" borderId="0"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11" fillId="0" borderId="5" xfId="1" applyBorder="1" applyAlignment="1">
      <alignment horizontal="center" vertical="center" wrapText="1"/>
    </xf>
    <xf numFmtId="0" fontId="11" fillId="0" borderId="5" xfId="1" applyBorder="1" applyAlignment="1">
      <alignment horizontal="center" vertical="center" wrapText="1"/>
    </xf>
    <xf numFmtId="0" fontId="11" fillId="0" borderId="52" xfId="1" applyBorder="1" applyAlignment="1">
      <alignment horizontal="center" vertical="center" wrapText="1"/>
    </xf>
    <xf numFmtId="0" fontId="11" fillId="0" borderId="5" xfId="1" applyBorder="1" applyAlignment="1">
      <alignment horizontal="center" vertical="center"/>
    </xf>
    <xf numFmtId="0" fontId="11" fillId="0" borderId="52" xfId="1" applyBorder="1" applyAlignment="1">
      <alignment horizontal="center" vertical="center"/>
    </xf>
    <xf numFmtId="0" fontId="15" fillId="6" borderId="0" xfId="0" applyFont="1" applyFill="1" applyBorder="1" applyAlignment="1">
      <alignment horizontal="left" vertical="top" wrapText="1"/>
    </xf>
    <xf numFmtId="0" fontId="0" fillId="0" borderId="46" xfId="0" applyFill="1" applyBorder="1" applyAlignment="1">
      <alignment horizontal="left" vertical="top" wrapText="1"/>
    </xf>
    <xf numFmtId="0" fontId="31" fillId="0" borderId="0" xfId="0" applyFont="1" applyBorder="1" applyAlignment="1">
      <alignment horizontal="left"/>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left" vertical="center" wrapText="1"/>
    </xf>
    <xf numFmtId="0" fontId="25" fillId="0" borderId="0" xfId="1" applyFont="1" applyFill="1" applyBorder="1" applyAlignment="1">
      <alignment horizontal="center"/>
    </xf>
    <xf numFmtId="0" fontId="0" fillId="0" borderId="0" xfId="0" applyBorder="1" applyAlignment="1">
      <alignment horizontal="left" vertical="center"/>
    </xf>
    <xf numFmtId="0" fontId="11" fillId="0" borderId="0" xfId="1" applyBorder="1" applyAlignment="1">
      <alignment horizontal="center" vertical="center" wrapText="1"/>
    </xf>
    <xf numFmtId="0" fontId="15" fillId="0" borderId="0" xfId="0" applyFont="1" applyFill="1" applyBorder="1" applyAlignment="1">
      <alignment vertical="top" wrapText="1"/>
    </xf>
    <xf numFmtId="0" fontId="0" fillId="0" borderId="0" xfId="0" applyFont="1" applyBorder="1"/>
    <xf numFmtId="0" fontId="0" fillId="0" borderId="0" xfId="0" applyFont="1" applyBorder="1" applyAlignment="1">
      <alignment horizontal="left" vertical="center" wrapText="1"/>
    </xf>
    <xf numFmtId="0" fontId="11" fillId="0" borderId="0" xfId="1" applyFont="1" applyBorder="1" applyAlignment="1">
      <alignment horizontal="center" vertical="center" wrapText="1"/>
    </xf>
    <xf numFmtId="164" fontId="16" fillId="0" borderId="0" xfId="0" applyNumberFormat="1" applyFont="1" applyFill="1" applyBorder="1" applyAlignment="1" applyProtection="1">
      <alignment horizontal="center"/>
      <protection hidden="1"/>
    </xf>
    <xf numFmtId="0" fontId="1" fillId="0" borderId="0" xfId="0" applyFont="1" applyBorder="1" applyAlignment="1"/>
    <xf numFmtId="0" fontId="0" fillId="0" borderId="0" xfId="0" applyFont="1" applyBorder="1" applyAlignment="1">
      <alignment vertical="center" wrapText="1"/>
    </xf>
    <xf numFmtId="0" fontId="0" fillId="0" borderId="0" xfId="0" applyFont="1" applyBorder="1" applyAlignment="1">
      <alignment vertical="center"/>
    </xf>
    <xf numFmtId="0" fontId="11" fillId="0" borderId="0" xfId="1" applyFont="1" applyBorder="1" applyAlignment="1">
      <alignment vertical="center" wrapText="1"/>
    </xf>
  </cellXfs>
  <cellStyles count="2">
    <cellStyle name="Hyperlink" xfId="1" builtinId="8"/>
    <cellStyle name="Normal" xfId="0" builtinId="0"/>
  </cellStyles>
  <dxfs count="4">
    <dxf>
      <font>
        <b/>
        <i val="0"/>
        <color rgb="FF00B050"/>
      </font>
      <fill>
        <patternFill>
          <bgColor theme="6" tint="0.39994506668294322"/>
        </patternFill>
      </fill>
    </dxf>
    <dxf>
      <font>
        <b/>
        <i val="0"/>
        <color rgb="FF00B050"/>
      </font>
      <fill>
        <patternFill>
          <bgColor theme="6" tint="0.39994506668294322"/>
        </patternFill>
      </fill>
    </dxf>
    <dxf>
      <font>
        <b/>
        <i val="0"/>
        <color rgb="FF00B050"/>
      </font>
      <fill>
        <patternFill>
          <bgColor theme="6" tint="0.39994506668294322"/>
        </patternFill>
      </fill>
    </dxf>
    <dxf>
      <font>
        <b/>
        <i val="0"/>
        <color rgb="FF00B050"/>
      </font>
      <fill>
        <patternFill>
          <bgColor theme="6"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9999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dispRSqr val="0"/>
            <c:dispEq val="1"/>
            <c:trendlineLbl>
              <c:layout>
                <c:manualLayout>
                  <c:x val="0.3326561679790026"/>
                  <c:y val="0.15615048118985128"/>
                </c:manualLayout>
              </c:layout>
              <c:numFmt formatCode="General" sourceLinked="0"/>
            </c:trendlineLbl>
          </c:trendline>
          <c:xVal>
            <c:numRef>
              <c:f>'Results mr-DWL-40'!$A$3:$A$7</c:f>
              <c:numCache>
                <c:formatCode>General</c:formatCode>
                <c:ptCount val="5"/>
                <c:pt idx="0">
                  <c:v>1000</c:v>
                </c:pt>
                <c:pt idx="1">
                  <c:v>2000</c:v>
                </c:pt>
                <c:pt idx="2">
                  <c:v>3000</c:v>
                </c:pt>
                <c:pt idx="3">
                  <c:v>4000</c:v>
                </c:pt>
                <c:pt idx="4">
                  <c:v>5000</c:v>
                </c:pt>
              </c:numCache>
            </c:numRef>
          </c:xVal>
          <c:yVal>
            <c:numRef>
              <c:f>'Results mr-DWL-40'!$B$3:$B$7</c:f>
              <c:numCache>
                <c:formatCode>General</c:formatCode>
                <c:ptCount val="5"/>
                <c:pt idx="0">
                  <c:v>80</c:v>
                </c:pt>
                <c:pt idx="1">
                  <c:v>39</c:v>
                </c:pt>
                <c:pt idx="2">
                  <c:v>27</c:v>
                </c:pt>
                <c:pt idx="3">
                  <c:v>19</c:v>
                </c:pt>
                <c:pt idx="4">
                  <c:v>16</c:v>
                </c:pt>
              </c:numCache>
            </c:numRef>
          </c:yVal>
          <c:smooth val="0"/>
          <c:extLst>
            <c:ext xmlns:c16="http://schemas.microsoft.com/office/drawing/2014/chart" uri="{C3380CC4-5D6E-409C-BE32-E72D297353CC}">
              <c16:uniqueId val="{00000000-B31E-4969-AF7D-89B88EEA2AAD}"/>
            </c:ext>
          </c:extLst>
        </c:ser>
        <c:dLbls>
          <c:showLegendKey val="0"/>
          <c:showVal val="0"/>
          <c:showCatName val="0"/>
          <c:showSerName val="0"/>
          <c:showPercent val="0"/>
          <c:showBubbleSize val="0"/>
        </c:dLbls>
        <c:axId val="115319168"/>
        <c:axId val="115320704"/>
      </c:scatterChart>
      <c:valAx>
        <c:axId val="115319168"/>
        <c:scaling>
          <c:orientation val="minMax"/>
        </c:scaling>
        <c:delete val="0"/>
        <c:axPos val="b"/>
        <c:numFmt formatCode="General" sourceLinked="1"/>
        <c:majorTickMark val="out"/>
        <c:minorTickMark val="none"/>
        <c:tickLblPos val="nextTo"/>
        <c:crossAx val="115320704"/>
        <c:crosses val="autoZero"/>
        <c:crossBetween val="midCat"/>
      </c:valAx>
      <c:valAx>
        <c:axId val="115320704"/>
        <c:scaling>
          <c:orientation val="minMax"/>
        </c:scaling>
        <c:delete val="0"/>
        <c:axPos val="l"/>
        <c:majorGridlines/>
        <c:numFmt formatCode="General" sourceLinked="1"/>
        <c:majorTickMark val="out"/>
        <c:minorTickMark val="none"/>
        <c:tickLblPos val="nextTo"/>
        <c:crossAx val="11531916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dispRSqr val="0"/>
            <c:dispEq val="1"/>
            <c:trendlineLbl>
              <c:layout>
                <c:manualLayout>
                  <c:x val="0.3326561679790026"/>
                  <c:y val="0.15615048118985128"/>
                </c:manualLayout>
              </c:layout>
              <c:numFmt formatCode="General" sourceLinked="0"/>
            </c:trendlineLbl>
          </c:trendline>
          <c:xVal>
            <c:numRef>
              <c:f>'Results mr-DWL-5'!$A$3:$A$7</c:f>
              <c:numCache>
                <c:formatCode>General</c:formatCode>
                <c:ptCount val="5"/>
                <c:pt idx="0">
                  <c:v>1000</c:v>
                </c:pt>
                <c:pt idx="1">
                  <c:v>2000</c:v>
                </c:pt>
                <c:pt idx="2">
                  <c:v>3000</c:v>
                </c:pt>
                <c:pt idx="3">
                  <c:v>4000</c:v>
                </c:pt>
                <c:pt idx="4">
                  <c:v>5000</c:v>
                </c:pt>
              </c:numCache>
            </c:numRef>
          </c:xVal>
          <c:yVal>
            <c:numRef>
              <c:f>'Results mr-DWL-5'!$B$3:$B$7</c:f>
              <c:numCache>
                <c:formatCode>General</c:formatCode>
                <c:ptCount val="5"/>
                <c:pt idx="0">
                  <c:v>13</c:v>
                </c:pt>
                <c:pt idx="1">
                  <c:v>7.5</c:v>
                </c:pt>
                <c:pt idx="2">
                  <c:v>5</c:v>
                </c:pt>
                <c:pt idx="3">
                  <c:v>4</c:v>
                </c:pt>
                <c:pt idx="4">
                  <c:v>3.5</c:v>
                </c:pt>
              </c:numCache>
            </c:numRef>
          </c:yVal>
          <c:smooth val="0"/>
          <c:extLst>
            <c:ext xmlns:c16="http://schemas.microsoft.com/office/drawing/2014/chart" uri="{C3380CC4-5D6E-409C-BE32-E72D297353CC}">
              <c16:uniqueId val="{00000000-2530-4D51-B462-C1D7CED3EF35}"/>
            </c:ext>
          </c:extLst>
        </c:ser>
        <c:dLbls>
          <c:showLegendKey val="0"/>
          <c:showVal val="0"/>
          <c:showCatName val="0"/>
          <c:showSerName val="0"/>
          <c:showPercent val="0"/>
          <c:showBubbleSize val="0"/>
        </c:dLbls>
        <c:axId val="115329664"/>
        <c:axId val="115605888"/>
      </c:scatterChart>
      <c:valAx>
        <c:axId val="115329664"/>
        <c:scaling>
          <c:orientation val="minMax"/>
        </c:scaling>
        <c:delete val="0"/>
        <c:axPos val="b"/>
        <c:numFmt formatCode="General" sourceLinked="1"/>
        <c:majorTickMark val="out"/>
        <c:minorTickMark val="none"/>
        <c:tickLblPos val="nextTo"/>
        <c:crossAx val="115605888"/>
        <c:crosses val="autoZero"/>
        <c:crossBetween val="midCat"/>
      </c:valAx>
      <c:valAx>
        <c:axId val="115605888"/>
        <c:scaling>
          <c:orientation val="minMax"/>
        </c:scaling>
        <c:delete val="0"/>
        <c:axPos val="l"/>
        <c:majorGridlines/>
        <c:numFmt formatCode="General" sourceLinked="1"/>
        <c:majorTickMark val="out"/>
        <c:minorTickMark val="none"/>
        <c:tickLblPos val="nextTo"/>
        <c:crossAx val="1153296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dispRSqr val="0"/>
            <c:dispEq val="1"/>
            <c:trendlineLbl>
              <c:layout>
                <c:manualLayout>
                  <c:x val="0.3326561679790026"/>
                  <c:y val="0.15615048118985128"/>
                </c:manualLayout>
              </c:layout>
              <c:numFmt formatCode="General" sourceLinked="0"/>
            </c:trendlineLbl>
          </c:trendline>
          <c:xVal>
            <c:numRef>
              <c:f>'Results Su8 3005'!$A$3:$A$7</c:f>
              <c:numCache>
                <c:formatCode>General</c:formatCode>
                <c:ptCount val="5"/>
                <c:pt idx="0">
                  <c:v>1000</c:v>
                </c:pt>
                <c:pt idx="1">
                  <c:v>2000</c:v>
                </c:pt>
                <c:pt idx="2">
                  <c:v>3000</c:v>
                </c:pt>
                <c:pt idx="3">
                  <c:v>4000</c:v>
                </c:pt>
                <c:pt idx="4">
                  <c:v>5000</c:v>
                </c:pt>
              </c:numCache>
            </c:numRef>
          </c:xVal>
          <c:yVal>
            <c:numRef>
              <c:f>'Results Su8 3005'!$B$3:$B$7</c:f>
              <c:numCache>
                <c:formatCode>General</c:formatCode>
                <c:ptCount val="5"/>
                <c:pt idx="0">
                  <c:v>10</c:v>
                </c:pt>
                <c:pt idx="1">
                  <c:v>7.5</c:v>
                </c:pt>
                <c:pt idx="2">
                  <c:v>6</c:v>
                </c:pt>
                <c:pt idx="3">
                  <c:v>5</c:v>
                </c:pt>
                <c:pt idx="4">
                  <c:v>4.5</c:v>
                </c:pt>
              </c:numCache>
            </c:numRef>
          </c:yVal>
          <c:smooth val="0"/>
          <c:extLst>
            <c:ext xmlns:c16="http://schemas.microsoft.com/office/drawing/2014/chart" uri="{C3380CC4-5D6E-409C-BE32-E72D297353CC}">
              <c16:uniqueId val="{00000000-C1A8-4316-9B66-193A0E36C551}"/>
            </c:ext>
          </c:extLst>
        </c:ser>
        <c:dLbls>
          <c:showLegendKey val="0"/>
          <c:showVal val="0"/>
          <c:showCatName val="0"/>
          <c:showSerName val="0"/>
          <c:showPercent val="0"/>
          <c:showBubbleSize val="0"/>
        </c:dLbls>
        <c:axId val="115659904"/>
        <c:axId val="115661440"/>
      </c:scatterChart>
      <c:valAx>
        <c:axId val="115659904"/>
        <c:scaling>
          <c:orientation val="minMax"/>
        </c:scaling>
        <c:delete val="0"/>
        <c:axPos val="b"/>
        <c:numFmt formatCode="General" sourceLinked="1"/>
        <c:majorTickMark val="out"/>
        <c:minorTickMark val="none"/>
        <c:tickLblPos val="nextTo"/>
        <c:crossAx val="115661440"/>
        <c:crosses val="autoZero"/>
        <c:crossBetween val="midCat"/>
      </c:valAx>
      <c:valAx>
        <c:axId val="115661440"/>
        <c:scaling>
          <c:orientation val="minMax"/>
        </c:scaling>
        <c:delete val="0"/>
        <c:axPos val="l"/>
        <c:majorGridlines/>
        <c:numFmt formatCode="General" sourceLinked="1"/>
        <c:majorTickMark val="out"/>
        <c:minorTickMark val="none"/>
        <c:tickLblPos val="nextTo"/>
        <c:crossAx val="11565990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dispRSqr val="0"/>
            <c:dispEq val="1"/>
            <c:trendlineLbl>
              <c:layout>
                <c:manualLayout>
                  <c:x val="0.3326561679790026"/>
                  <c:y val="0.15615048118985128"/>
                </c:manualLayout>
              </c:layout>
              <c:numFmt formatCode="General" sourceLinked="0"/>
            </c:trendlineLbl>
          </c:trendline>
          <c:xVal>
            <c:numRef>
              <c:f>'Results Su8 3010'!$A$3:$A$7</c:f>
              <c:numCache>
                <c:formatCode>General</c:formatCode>
                <c:ptCount val="5"/>
                <c:pt idx="0">
                  <c:v>1000</c:v>
                </c:pt>
                <c:pt idx="1">
                  <c:v>2000</c:v>
                </c:pt>
                <c:pt idx="2">
                  <c:v>3000</c:v>
                </c:pt>
                <c:pt idx="3">
                  <c:v>4000</c:v>
                </c:pt>
                <c:pt idx="4">
                  <c:v>5000</c:v>
                </c:pt>
              </c:numCache>
            </c:numRef>
          </c:xVal>
          <c:yVal>
            <c:numRef>
              <c:f>'Results Su8 3010'!$B$3:$B$7</c:f>
              <c:numCache>
                <c:formatCode>General</c:formatCode>
                <c:ptCount val="5"/>
                <c:pt idx="0">
                  <c:v>18.5</c:v>
                </c:pt>
                <c:pt idx="1">
                  <c:v>13</c:v>
                </c:pt>
                <c:pt idx="2">
                  <c:v>10.7</c:v>
                </c:pt>
                <c:pt idx="3">
                  <c:v>9.5</c:v>
                </c:pt>
                <c:pt idx="4">
                  <c:v>8.6999999999999993</c:v>
                </c:pt>
              </c:numCache>
            </c:numRef>
          </c:yVal>
          <c:smooth val="0"/>
          <c:extLst>
            <c:ext xmlns:c16="http://schemas.microsoft.com/office/drawing/2014/chart" uri="{C3380CC4-5D6E-409C-BE32-E72D297353CC}">
              <c16:uniqueId val="{00000000-D1CB-4E25-A669-6254AD4ABBBB}"/>
            </c:ext>
          </c:extLst>
        </c:ser>
        <c:dLbls>
          <c:showLegendKey val="0"/>
          <c:showVal val="0"/>
          <c:showCatName val="0"/>
          <c:showSerName val="0"/>
          <c:showPercent val="0"/>
          <c:showBubbleSize val="0"/>
        </c:dLbls>
        <c:axId val="115682688"/>
        <c:axId val="115684480"/>
      </c:scatterChart>
      <c:valAx>
        <c:axId val="115682688"/>
        <c:scaling>
          <c:orientation val="minMax"/>
        </c:scaling>
        <c:delete val="0"/>
        <c:axPos val="b"/>
        <c:numFmt formatCode="General" sourceLinked="1"/>
        <c:majorTickMark val="out"/>
        <c:minorTickMark val="none"/>
        <c:tickLblPos val="nextTo"/>
        <c:crossAx val="115684480"/>
        <c:crosses val="autoZero"/>
        <c:crossBetween val="midCat"/>
      </c:valAx>
      <c:valAx>
        <c:axId val="115684480"/>
        <c:scaling>
          <c:orientation val="minMax"/>
        </c:scaling>
        <c:delete val="0"/>
        <c:axPos val="l"/>
        <c:majorGridlines/>
        <c:numFmt formatCode="General" sourceLinked="1"/>
        <c:majorTickMark val="out"/>
        <c:minorTickMark val="none"/>
        <c:tickLblPos val="nextTo"/>
        <c:crossAx val="11568268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dispRSqr val="0"/>
            <c:dispEq val="1"/>
            <c:trendlineLbl>
              <c:layout>
                <c:manualLayout>
                  <c:x val="0.3326561679790026"/>
                  <c:y val="0.15615048118985128"/>
                </c:manualLayout>
              </c:layout>
              <c:numFmt formatCode="General" sourceLinked="0"/>
            </c:trendlineLbl>
          </c:trendline>
          <c:xVal>
            <c:numRef>
              <c:f>'Results Su8 3025'!$A$3:$A$7</c:f>
              <c:numCache>
                <c:formatCode>General</c:formatCode>
                <c:ptCount val="5"/>
                <c:pt idx="0">
                  <c:v>1000</c:v>
                </c:pt>
                <c:pt idx="1">
                  <c:v>2000</c:v>
                </c:pt>
                <c:pt idx="2">
                  <c:v>3000</c:v>
                </c:pt>
                <c:pt idx="3">
                  <c:v>4000</c:v>
                </c:pt>
                <c:pt idx="4">
                  <c:v>5000</c:v>
                </c:pt>
              </c:numCache>
            </c:numRef>
          </c:xVal>
          <c:yVal>
            <c:numRef>
              <c:f>'Results Su8 3025'!$B$3:$B$7</c:f>
              <c:numCache>
                <c:formatCode>General</c:formatCode>
                <c:ptCount val="5"/>
                <c:pt idx="0">
                  <c:v>68</c:v>
                </c:pt>
                <c:pt idx="1">
                  <c:v>39</c:v>
                </c:pt>
                <c:pt idx="2">
                  <c:v>27</c:v>
                </c:pt>
                <c:pt idx="3">
                  <c:v>20</c:v>
                </c:pt>
                <c:pt idx="4">
                  <c:v>17</c:v>
                </c:pt>
              </c:numCache>
            </c:numRef>
          </c:yVal>
          <c:smooth val="0"/>
          <c:extLst>
            <c:ext xmlns:c16="http://schemas.microsoft.com/office/drawing/2014/chart" uri="{C3380CC4-5D6E-409C-BE32-E72D297353CC}">
              <c16:uniqueId val="{00000000-6C10-411A-8594-3F2263D12828}"/>
            </c:ext>
          </c:extLst>
        </c:ser>
        <c:dLbls>
          <c:showLegendKey val="0"/>
          <c:showVal val="0"/>
          <c:showCatName val="0"/>
          <c:showSerName val="0"/>
          <c:showPercent val="0"/>
          <c:showBubbleSize val="0"/>
        </c:dLbls>
        <c:axId val="115730688"/>
        <c:axId val="116264960"/>
      </c:scatterChart>
      <c:valAx>
        <c:axId val="115730688"/>
        <c:scaling>
          <c:orientation val="minMax"/>
        </c:scaling>
        <c:delete val="0"/>
        <c:axPos val="b"/>
        <c:numFmt formatCode="General" sourceLinked="1"/>
        <c:majorTickMark val="out"/>
        <c:minorTickMark val="none"/>
        <c:tickLblPos val="nextTo"/>
        <c:crossAx val="116264960"/>
        <c:crosses val="autoZero"/>
        <c:crossBetween val="midCat"/>
      </c:valAx>
      <c:valAx>
        <c:axId val="116264960"/>
        <c:scaling>
          <c:orientation val="minMax"/>
        </c:scaling>
        <c:delete val="0"/>
        <c:axPos val="l"/>
        <c:majorGridlines/>
        <c:numFmt formatCode="General" sourceLinked="1"/>
        <c:majorTickMark val="out"/>
        <c:minorTickMark val="none"/>
        <c:tickLblPos val="nextTo"/>
        <c:crossAx val="11573068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dispRSqr val="0"/>
            <c:dispEq val="1"/>
            <c:trendlineLbl>
              <c:layout>
                <c:manualLayout>
                  <c:x val="0.3326561679790026"/>
                  <c:y val="0.15615048118985128"/>
                </c:manualLayout>
              </c:layout>
              <c:numFmt formatCode="General" sourceLinked="0"/>
            </c:trendlineLbl>
          </c:trendline>
          <c:xVal>
            <c:numRef>
              <c:f>'Results Su8 3035'!$A$3:$A$7</c:f>
              <c:numCache>
                <c:formatCode>General</c:formatCode>
                <c:ptCount val="5"/>
                <c:pt idx="0">
                  <c:v>1000</c:v>
                </c:pt>
                <c:pt idx="1">
                  <c:v>2000</c:v>
                </c:pt>
                <c:pt idx="2">
                  <c:v>3000</c:v>
                </c:pt>
                <c:pt idx="3">
                  <c:v>4000</c:v>
                </c:pt>
                <c:pt idx="4">
                  <c:v>5000</c:v>
                </c:pt>
              </c:numCache>
            </c:numRef>
          </c:xVal>
          <c:yVal>
            <c:numRef>
              <c:f>'Results Su8 3035'!$B$3:$B$7</c:f>
              <c:numCache>
                <c:formatCode>General</c:formatCode>
                <c:ptCount val="5"/>
                <c:pt idx="0">
                  <c:v>87.5</c:v>
                </c:pt>
                <c:pt idx="1">
                  <c:v>50</c:v>
                </c:pt>
                <c:pt idx="2">
                  <c:v>33.5</c:v>
                </c:pt>
                <c:pt idx="3">
                  <c:v>25</c:v>
                </c:pt>
                <c:pt idx="4">
                  <c:v>21</c:v>
                </c:pt>
              </c:numCache>
            </c:numRef>
          </c:yVal>
          <c:smooth val="0"/>
          <c:extLst>
            <c:ext xmlns:c16="http://schemas.microsoft.com/office/drawing/2014/chart" uri="{C3380CC4-5D6E-409C-BE32-E72D297353CC}">
              <c16:uniqueId val="{00000000-4E71-4C9F-96C4-4F299D15C478}"/>
            </c:ext>
          </c:extLst>
        </c:ser>
        <c:dLbls>
          <c:showLegendKey val="0"/>
          <c:showVal val="0"/>
          <c:showCatName val="0"/>
          <c:showSerName val="0"/>
          <c:showPercent val="0"/>
          <c:showBubbleSize val="0"/>
        </c:dLbls>
        <c:axId val="116278016"/>
        <c:axId val="116279552"/>
      </c:scatterChart>
      <c:valAx>
        <c:axId val="116278016"/>
        <c:scaling>
          <c:orientation val="minMax"/>
        </c:scaling>
        <c:delete val="0"/>
        <c:axPos val="b"/>
        <c:numFmt formatCode="General" sourceLinked="1"/>
        <c:majorTickMark val="out"/>
        <c:minorTickMark val="none"/>
        <c:tickLblPos val="nextTo"/>
        <c:crossAx val="116279552"/>
        <c:crosses val="autoZero"/>
        <c:crossBetween val="midCat"/>
      </c:valAx>
      <c:valAx>
        <c:axId val="116279552"/>
        <c:scaling>
          <c:orientation val="minMax"/>
        </c:scaling>
        <c:delete val="0"/>
        <c:axPos val="l"/>
        <c:majorGridlines/>
        <c:numFmt formatCode="General" sourceLinked="1"/>
        <c:majorTickMark val="out"/>
        <c:minorTickMark val="none"/>
        <c:tickLblPos val="nextTo"/>
        <c:crossAx val="1162780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dispRSqr val="0"/>
            <c:dispEq val="1"/>
            <c:trendlineLbl>
              <c:layout>
                <c:manualLayout>
                  <c:x val="0.3326561679790026"/>
                  <c:y val="0.15615048118985128"/>
                </c:manualLayout>
              </c:layout>
              <c:numFmt formatCode="General" sourceLinked="0"/>
            </c:trendlineLbl>
          </c:trendline>
          <c:xVal>
            <c:numRef>
              <c:f>'Results Su8 3050'!$A$3:$A$7</c:f>
              <c:numCache>
                <c:formatCode>General</c:formatCode>
                <c:ptCount val="5"/>
                <c:pt idx="0">
                  <c:v>1000</c:v>
                </c:pt>
                <c:pt idx="1">
                  <c:v>2000</c:v>
                </c:pt>
                <c:pt idx="2">
                  <c:v>3000</c:v>
                </c:pt>
                <c:pt idx="3">
                  <c:v>4000</c:v>
                </c:pt>
                <c:pt idx="4">
                  <c:v>5000</c:v>
                </c:pt>
              </c:numCache>
            </c:numRef>
          </c:xVal>
          <c:yVal>
            <c:numRef>
              <c:f>'Results Su8 3050'!$B$3:$B$7</c:f>
              <c:numCache>
                <c:formatCode>General</c:formatCode>
                <c:ptCount val="5"/>
                <c:pt idx="0">
                  <c:v>115</c:v>
                </c:pt>
                <c:pt idx="1">
                  <c:v>67.5</c:v>
                </c:pt>
                <c:pt idx="2">
                  <c:v>47.5</c:v>
                </c:pt>
                <c:pt idx="3">
                  <c:v>34</c:v>
                </c:pt>
                <c:pt idx="4">
                  <c:v>29</c:v>
                </c:pt>
              </c:numCache>
            </c:numRef>
          </c:yVal>
          <c:smooth val="0"/>
          <c:extLst>
            <c:ext xmlns:c16="http://schemas.microsoft.com/office/drawing/2014/chart" uri="{C3380CC4-5D6E-409C-BE32-E72D297353CC}">
              <c16:uniqueId val="{00000000-111E-4FC7-AAE5-3BD98AF998C9}"/>
            </c:ext>
          </c:extLst>
        </c:ser>
        <c:dLbls>
          <c:showLegendKey val="0"/>
          <c:showVal val="0"/>
          <c:showCatName val="0"/>
          <c:showSerName val="0"/>
          <c:showPercent val="0"/>
          <c:showBubbleSize val="0"/>
        </c:dLbls>
        <c:axId val="116411392"/>
        <c:axId val="116413184"/>
      </c:scatterChart>
      <c:valAx>
        <c:axId val="116411392"/>
        <c:scaling>
          <c:orientation val="minMax"/>
        </c:scaling>
        <c:delete val="0"/>
        <c:axPos val="b"/>
        <c:numFmt formatCode="General" sourceLinked="1"/>
        <c:majorTickMark val="out"/>
        <c:minorTickMark val="none"/>
        <c:tickLblPos val="nextTo"/>
        <c:crossAx val="116413184"/>
        <c:crosses val="autoZero"/>
        <c:crossBetween val="midCat"/>
      </c:valAx>
      <c:valAx>
        <c:axId val="116413184"/>
        <c:scaling>
          <c:orientation val="minMax"/>
        </c:scaling>
        <c:delete val="0"/>
        <c:axPos val="l"/>
        <c:majorGridlines/>
        <c:numFmt formatCode="General" sourceLinked="1"/>
        <c:majorTickMark val="out"/>
        <c:minorTickMark val="none"/>
        <c:tickLblPos val="nextTo"/>
        <c:crossAx val="11641139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257175</xdr:colOff>
      <xdr:row>13</xdr:row>
      <xdr:rowOff>147201</xdr:rowOff>
    </xdr:from>
    <xdr:to>
      <xdr:col>1</xdr:col>
      <xdr:colOff>466725</xdr:colOff>
      <xdr:row>15</xdr:row>
      <xdr:rowOff>36364</xdr:rowOff>
    </xdr:to>
    <xdr:sp macro="" textlink="">
      <xdr:nvSpPr>
        <xdr:cNvPr id="2" name="Forme automatique 1"/>
        <xdr:cNvSpPr>
          <a:spLocks noChangeArrowheads="1"/>
        </xdr:cNvSpPr>
      </xdr:nvSpPr>
      <xdr:spPr bwMode="auto">
        <a:xfrm>
          <a:off x="1028700" y="2661801"/>
          <a:ext cx="209550" cy="213013"/>
        </a:xfrm>
        <a:prstGeom prst="downArrow">
          <a:avLst>
            <a:gd name="adj1" fmla="val 50000"/>
            <a:gd name="adj2" fmla="val 48864"/>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285750</xdr:colOff>
      <xdr:row>17</xdr:row>
      <xdr:rowOff>160189</xdr:rowOff>
    </xdr:from>
    <xdr:to>
      <xdr:col>1</xdr:col>
      <xdr:colOff>504825</xdr:colOff>
      <xdr:row>20</xdr:row>
      <xdr:rowOff>38100</xdr:rowOff>
    </xdr:to>
    <xdr:sp macro="" textlink="">
      <xdr:nvSpPr>
        <xdr:cNvPr id="3" name="Forme automatique 2"/>
        <xdr:cNvSpPr>
          <a:spLocks noChangeArrowheads="1"/>
        </xdr:cNvSpPr>
      </xdr:nvSpPr>
      <xdr:spPr bwMode="auto">
        <a:xfrm>
          <a:off x="1057275" y="3160564"/>
          <a:ext cx="219075" cy="449411"/>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266700</xdr:colOff>
      <xdr:row>26</xdr:row>
      <xdr:rowOff>171450</xdr:rowOff>
    </xdr:from>
    <xdr:to>
      <xdr:col>1</xdr:col>
      <xdr:colOff>485775</xdr:colOff>
      <xdr:row>30</xdr:row>
      <xdr:rowOff>23376</xdr:rowOff>
    </xdr:to>
    <xdr:sp macro="" textlink="">
      <xdr:nvSpPr>
        <xdr:cNvPr id="4" name="Forme automatique 3"/>
        <xdr:cNvSpPr>
          <a:spLocks noChangeArrowheads="1"/>
        </xdr:cNvSpPr>
      </xdr:nvSpPr>
      <xdr:spPr bwMode="auto">
        <a:xfrm>
          <a:off x="1038225" y="4505325"/>
          <a:ext cx="219075" cy="613926"/>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32</xdr:row>
      <xdr:rowOff>160189</xdr:rowOff>
    </xdr:from>
    <xdr:to>
      <xdr:col>1</xdr:col>
      <xdr:colOff>476250</xdr:colOff>
      <xdr:row>34</xdr:row>
      <xdr:rowOff>39828</xdr:rowOff>
    </xdr:to>
    <xdr:sp macro="" textlink="">
      <xdr:nvSpPr>
        <xdr:cNvPr id="5" name="Forme automatique 4"/>
        <xdr:cNvSpPr>
          <a:spLocks noChangeArrowheads="1"/>
        </xdr:cNvSpPr>
      </xdr:nvSpPr>
      <xdr:spPr bwMode="auto">
        <a:xfrm>
          <a:off x="1047750" y="5036989"/>
          <a:ext cx="200025" cy="222539"/>
        </a:xfrm>
        <a:prstGeom prst="downArrow">
          <a:avLst>
            <a:gd name="adj1" fmla="val 50000"/>
            <a:gd name="adj2" fmla="val 46429"/>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36</xdr:row>
      <xdr:rowOff>156725</xdr:rowOff>
    </xdr:from>
    <xdr:to>
      <xdr:col>1</xdr:col>
      <xdr:colOff>476250</xdr:colOff>
      <xdr:row>38</xdr:row>
      <xdr:rowOff>20778</xdr:rowOff>
    </xdr:to>
    <xdr:sp macro="" textlink="">
      <xdr:nvSpPr>
        <xdr:cNvPr id="6" name="Forme automatique 5"/>
        <xdr:cNvSpPr>
          <a:spLocks noChangeArrowheads="1"/>
        </xdr:cNvSpPr>
      </xdr:nvSpPr>
      <xdr:spPr bwMode="auto">
        <a:xfrm>
          <a:off x="1047750" y="5700275"/>
          <a:ext cx="200025" cy="206953"/>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40</xdr:row>
      <xdr:rowOff>147200</xdr:rowOff>
    </xdr:from>
    <xdr:to>
      <xdr:col>1</xdr:col>
      <xdr:colOff>476250</xdr:colOff>
      <xdr:row>42</xdr:row>
      <xdr:rowOff>11253</xdr:rowOff>
    </xdr:to>
    <xdr:sp macro="" textlink="">
      <xdr:nvSpPr>
        <xdr:cNvPr id="7" name="Forme automatique 6"/>
        <xdr:cNvSpPr>
          <a:spLocks noChangeArrowheads="1"/>
        </xdr:cNvSpPr>
      </xdr:nvSpPr>
      <xdr:spPr bwMode="auto">
        <a:xfrm>
          <a:off x="1047750" y="6357500"/>
          <a:ext cx="200025" cy="206953"/>
        </a:xfrm>
        <a:prstGeom prst="downArrow">
          <a:avLst>
            <a:gd name="adj1" fmla="val 50000"/>
            <a:gd name="adj2" fmla="val 25000"/>
          </a:avLst>
        </a:prstGeom>
        <a:solidFill>
          <a:srgbClr val="C0C0C0"/>
        </a:solidFill>
        <a:ln w="9360">
          <a:solidFill>
            <a:srgbClr val="80808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22</xdr:row>
      <xdr:rowOff>171450</xdr:rowOff>
    </xdr:from>
    <xdr:to>
      <xdr:col>1</xdr:col>
      <xdr:colOff>476250</xdr:colOff>
      <xdr:row>24</xdr:row>
      <xdr:rowOff>38100</xdr:rowOff>
    </xdr:to>
    <xdr:sp macro="" textlink="">
      <xdr:nvSpPr>
        <xdr:cNvPr id="8" name="Forme automatique 4"/>
        <xdr:cNvSpPr>
          <a:spLocks noChangeArrowheads="1"/>
        </xdr:cNvSpPr>
      </xdr:nvSpPr>
      <xdr:spPr bwMode="auto">
        <a:xfrm>
          <a:off x="1047750" y="4124325"/>
          <a:ext cx="200025" cy="247650"/>
        </a:xfrm>
        <a:prstGeom prst="downArrow">
          <a:avLst>
            <a:gd name="adj1" fmla="val 50000"/>
            <a:gd name="adj2" fmla="val 46429"/>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209550</xdr:colOff>
      <xdr:row>15</xdr:row>
      <xdr:rowOff>33337</xdr:rowOff>
    </xdr:from>
    <xdr:to>
      <xdr:col>13</xdr:col>
      <xdr:colOff>209550</xdr:colOff>
      <xdr:row>31</xdr:row>
      <xdr:rowOff>119062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209550</xdr:colOff>
      <xdr:row>15</xdr:row>
      <xdr:rowOff>33337</xdr:rowOff>
    </xdr:from>
    <xdr:to>
      <xdr:col>13</xdr:col>
      <xdr:colOff>209550</xdr:colOff>
      <xdr:row>31</xdr:row>
      <xdr:rowOff>119062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209550</xdr:colOff>
      <xdr:row>15</xdr:row>
      <xdr:rowOff>33337</xdr:rowOff>
    </xdr:from>
    <xdr:to>
      <xdr:col>13</xdr:col>
      <xdr:colOff>209550</xdr:colOff>
      <xdr:row>31</xdr:row>
      <xdr:rowOff>119062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209550</xdr:colOff>
      <xdr:row>15</xdr:row>
      <xdr:rowOff>33337</xdr:rowOff>
    </xdr:from>
    <xdr:to>
      <xdr:col>13</xdr:col>
      <xdr:colOff>209550</xdr:colOff>
      <xdr:row>31</xdr:row>
      <xdr:rowOff>119062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9</xdr:row>
      <xdr:rowOff>147201</xdr:rowOff>
    </xdr:from>
    <xdr:to>
      <xdr:col>1</xdr:col>
      <xdr:colOff>466725</xdr:colOff>
      <xdr:row>11</xdr:row>
      <xdr:rowOff>36364</xdr:rowOff>
    </xdr:to>
    <xdr:sp macro="" textlink="">
      <xdr:nvSpPr>
        <xdr:cNvPr id="2" name="Forme automatique 1"/>
        <xdr:cNvSpPr>
          <a:spLocks noChangeArrowheads="1"/>
        </xdr:cNvSpPr>
      </xdr:nvSpPr>
      <xdr:spPr bwMode="auto">
        <a:xfrm>
          <a:off x="1028700" y="4643001"/>
          <a:ext cx="209550" cy="270163"/>
        </a:xfrm>
        <a:prstGeom prst="downArrow">
          <a:avLst>
            <a:gd name="adj1" fmla="val 50000"/>
            <a:gd name="adj2" fmla="val 48864"/>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266700</xdr:colOff>
      <xdr:row>13</xdr:row>
      <xdr:rowOff>160189</xdr:rowOff>
    </xdr:from>
    <xdr:to>
      <xdr:col>1</xdr:col>
      <xdr:colOff>485775</xdr:colOff>
      <xdr:row>15</xdr:row>
      <xdr:rowOff>104775</xdr:rowOff>
    </xdr:to>
    <xdr:sp macro="" textlink="">
      <xdr:nvSpPr>
        <xdr:cNvPr id="3" name="Forme automatique 2"/>
        <xdr:cNvSpPr>
          <a:spLocks noChangeArrowheads="1"/>
        </xdr:cNvSpPr>
      </xdr:nvSpPr>
      <xdr:spPr bwMode="auto">
        <a:xfrm>
          <a:off x="1038225" y="2874814"/>
          <a:ext cx="219075" cy="268436"/>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17</xdr:row>
      <xdr:rowOff>180975</xdr:rowOff>
    </xdr:from>
    <xdr:to>
      <xdr:col>1</xdr:col>
      <xdr:colOff>476250</xdr:colOff>
      <xdr:row>19</xdr:row>
      <xdr:rowOff>60614</xdr:rowOff>
    </xdr:to>
    <xdr:sp macro="" textlink="">
      <xdr:nvSpPr>
        <xdr:cNvPr id="12" name="Forme automatique 4"/>
        <xdr:cNvSpPr>
          <a:spLocks noChangeArrowheads="1"/>
        </xdr:cNvSpPr>
      </xdr:nvSpPr>
      <xdr:spPr bwMode="auto">
        <a:xfrm>
          <a:off x="1047750" y="4467225"/>
          <a:ext cx="200025" cy="260639"/>
        </a:xfrm>
        <a:prstGeom prst="downArrow">
          <a:avLst>
            <a:gd name="adj1" fmla="val 50000"/>
            <a:gd name="adj2" fmla="val 46429"/>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257175</xdr:colOff>
      <xdr:row>21</xdr:row>
      <xdr:rowOff>175776</xdr:rowOff>
    </xdr:from>
    <xdr:to>
      <xdr:col>1</xdr:col>
      <xdr:colOff>466725</xdr:colOff>
      <xdr:row>23</xdr:row>
      <xdr:rowOff>74464</xdr:rowOff>
    </xdr:to>
    <xdr:sp macro="" textlink="">
      <xdr:nvSpPr>
        <xdr:cNvPr id="9" name="Forme automatique 1"/>
        <xdr:cNvSpPr>
          <a:spLocks noChangeArrowheads="1"/>
        </xdr:cNvSpPr>
      </xdr:nvSpPr>
      <xdr:spPr bwMode="auto">
        <a:xfrm>
          <a:off x="1028700" y="5271651"/>
          <a:ext cx="209550" cy="279688"/>
        </a:xfrm>
        <a:prstGeom prst="downArrow">
          <a:avLst>
            <a:gd name="adj1" fmla="val 50000"/>
            <a:gd name="adj2" fmla="val 48864"/>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247650</xdr:colOff>
      <xdr:row>5</xdr:row>
      <xdr:rowOff>190500</xdr:rowOff>
    </xdr:from>
    <xdr:to>
      <xdr:col>1</xdr:col>
      <xdr:colOff>447675</xdr:colOff>
      <xdr:row>7</xdr:row>
      <xdr:rowOff>93514</xdr:rowOff>
    </xdr:to>
    <xdr:sp macro="" textlink="">
      <xdr:nvSpPr>
        <xdr:cNvPr id="10" name="Forme automatique 1"/>
        <xdr:cNvSpPr>
          <a:spLocks noChangeArrowheads="1"/>
        </xdr:cNvSpPr>
      </xdr:nvSpPr>
      <xdr:spPr bwMode="auto">
        <a:xfrm>
          <a:off x="1019175" y="1571625"/>
          <a:ext cx="200025" cy="303064"/>
        </a:xfrm>
        <a:prstGeom prst="downArrow">
          <a:avLst>
            <a:gd name="adj1" fmla="val 50000"/>
            <a:gd name="adj2" fmla="val 48864"/>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247650</xdr:colOff>
      <xdr:row>25</xdr:row>
      <xdr:rowOff>156726</xdr:rowOff>
    </xdr:from>
    <xdr:to>
      <xdr:col>1</xdr:col>
      <xdr:colOff>457200</xdr:colOff>
      <xdr:row>27</xdr:row>
      <xdr:rowOff>55414</xdr:rowOff>
    </xdr:to>
    <xdr:sp macro="" textlink="">
      <xdr:nvSpPr>
        <xdr:cNvPr id="13" name="Forme automatique 1"/>
        <xdr:cNvSpPr>
          <a:spLocks noChangeArrowheads="1"/>
        </xdr:cNvSpPr>
      </xdr:nvSpPr>
      <xdr:spPr bwMode="auto">
        <a:xfrm>
          <a:off x="1019175" y="6128901"/>
          <a:ext cx="209550" cy="279688"/>
        </a:xfrm>
        <a:prstGeom prst="downArrow">
          <a:avLst>
            <a:gd name="adj1" fmla="val 50000"/>
            <a:gd name="adj2" fmla="val 48864"/>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285750</xdr:colOff>
      <xdr:row>7</xdr:row>
      <xdr:rowOff>104776</xdr:rowOff>
    </xdr:from>
    <xdr:to>
      <xdr:col>1</xdr:col>
      <xdr:colOff>495300</xdr:colOff>
      <xdr:row>9</xdr:row>
      <xdr:rowOff>64940</xdr:rowOff>
    </xdr:to>
    <xdr:sp macro="" textlink="">
      <xdr:nvSpPr>
        <xdr:cNvPr id="2" name="Forme automatique 1"/>
        <xdr:cNvSpPr>
          <a:spLocks noChangeArrowheads="1"/>
        </xdr:cNvSpPr>
      </xdr:nvSpPr>
      <xdr:spPr bwMode="auto">
        <a:xfrm>
          <a:off x="895350" y="3067051"/>
          <a:ext cx="209550" cy="284014"/>
        </a:xfrm>
        <a:prstGeom prst="downArrow">
          <a:avLst>
            <a:gd name="adj1" fmla="val 50000"/>
            <a:gd name="adj2" fmla="val 48864"/>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266700</xdr:colOff>
      <xdr:row>11</xdr:row>
      <xdr:rowOff>131614</xdr:rowOff>
    </xdr:from>
    <xdr:to>
      <xdr:col>1</xdr:col>
      <xdr:colOff>466725</xdr:colOff>
      <xdr:row>13</xdr:row>
      <xdr:rowOff>114300</xdr:rowOff>
    </xdr:to>
    <xdr:sp macro="" textlink="">
      <xdr:nvSpPr>
        <xdr:cNvPr id="3" name="Forme automatique 2"/>
        <xdr:cNvSpPr>
          <a:spLocks noChangeArrowheads="1"/>
        </xdr:cNvSpPr>
      </xdr:nvSpPr>
      <xdr:spPr bwMode="auto">
        <a:xfrm>
          <a:off x="876300" y="3789214"/>
          <a:ext cx="200025" cy="325586"/>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304801</xdr:colOff>
      <xdr:row>27</xdr:row>
      <xdr:rowOff>128150</xdr:rowOff>
    </xdr:from>
    <xdr:to>
      <xdr:col>1</xdr:col>
      <xdr:colOff>495301</xdr:colOff>
      <xdr:row>29</xdr:row>
      <xdr:rowOff>95250</xdr:rowOff>
    </xdr:to>
    <xdr:sp macro="" textlink="">
      <xdr:nvSpPr>
        <xdr:cNvPr id="4" name="Forme automatique 5"/>
        <xdr:cNvSpPr>
          <a:spLocks noChangeArrowheads="1"/>
        </xdr:cNvSpPr>
      </xdr:nvSpPr>
      <xdr:spPr bwMode="auto">
        <a:xfrm>
          <a:off x="914401" y="6700400"/>
          <a:ext cx="190500" cy="310000"/>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31</xdr:row>
      <xdr:rowOff>147200</xdr:rowOff>
    </xdr:from>
    <xdr:to>
      <xdr:col>1</xdr:col>
      <xdr:colOff>523875</xdr:colOff>
      <xdr:row>33</xdr:row>
      <xdr:rowOff>85725</xdr:rowOff>
    </xdr:to>
    <xdr:sp macro="" textlink="">
      <xdr:nvSpPr>
        <xdr:cNvPr id="5" name="Forme automatique 6"/>
        <xdr:cNvSpPr>
          <a:spLocks noChangeArrowheads="1"/>
        </xdr:cNvSpPr>
      </xdr:nvSpPr>
      <xdr:spPr bwMode="auto">
        <a:xfrm>
          <a:off x="923925" y="7424300"/>
          <a:ext cx="209550" cy="281425"/>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19</xdr:row>
      <xdr:rowOff>160189</xdr:rowOff>
    </xdr:from>
    <xdr:to>
      <xdr:col>1</xdr:col>
      <xdr:colOff>476250</xdr:colOff>
      <xdr:row>21</xdr:row>
      <xdr:rowOff>39828</xdr:rowOff>
    </xdr:to>
    <xdr:sp macro="" textlink="">
      <xdr:nvSpPr>
        <xdr:cNvPr id="7" name="Forme automatique 4"/>
        <xdr:cNvSpPr>
          <a:spLocks noChangeArrowheads="1"/>
        </xdr:cNvSpPr>
      </xdr:nvSpPr>
      <xdr:spPr bwMode="auto">
        <a:xfrm>
          <a:off x="1047750" y="5551339"/>
          <a:ext cx="200025" cy="260639"/>
        </a:xfrm>
        <a:prstGeom prst="downArrow">
          <a:avLst>
            <a:gd name="adj1" fmla="val 50000"/>
            <a:gd name="adj2" fmla="val 46429"/>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15</xdr:row>
      <xdr:rowOff>142875</xdr:rowOff>
    </xdr:from>
    <xdr:to>
      <xdr:col>1</xdr:col>
      <xdr:colOff>476250</xdr:colOff>
      <xdr:row>17</xdr:row>
      <xdr:rowOff>32039</xdr:rowOff>
    </xdr:to>
    <xdr:sp macro="" textlink="">
      <xdr:nvSpPr>
        <xdr:cNvPr id="8" name="Forme automatique 4"/>
        <xdr:cNvSpPr>
          <a:spLocks noChangeArrowheads="1"/>
        </xdr:cNvSpPr>
      </xdr:nvSpPr>
      <xdr:spPr bwMode="auto">
        <a:xfrm>
          <a:off x="885825" y="4505325"/>
          <a:ext cx="200025" cy="365414"/>
        </a:xfrm>
        <a:prstGeom prst="downArrow">
          <a:avLst>
            <a:gd name="adj1" fmla="val 50000"/>
            <a:gd name="adj2" fmla="val 46429"/>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133350</xdr:colOff>
      <xdr:row>23</xdr:row>
      <xdr:rowOff>85725</xdr:rowOff>
    </xdr:from>
    <xdr:to>
      <xdr:col>1</xdr:col>
      <xdr:colOff>333375</xdr:colOff>
      <xdr:row>25</xdr:row>
      <xdr:rowOff>108239</xdr:rowOff>
    </xdr:to>
    <xdr:sp macro="" textlink="">
      <xdr:nvSpPr>
        <xdr:cNvPr id="9" name="Forme automatique 4"/>
        <xdr:cNvSpPr>
          <a:spLocks noChangeArrowheads="1"/>
        </xdr:cNvSpPr>
      </xdr:nvSpPr>
      <xdr:spPr bwMode="auto">
        <a:xfrm>
          <a:off x="742950" y="5953125"/>
          <a:ext cx="200025" cy="365414"/>
        </a:xfrm>
        <a:prstGeom prst="downArrow">
          <a:avLst>
            <a:gd name="adj1" fmla="val 50000"/>
            <a:gd name="adj2" fmla="val 46429"/>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476250</xdr:colOff>
      <xdr:row>23</xdr:row>
      <xdr:rowOff>71085</xdr:rowOff>
    </xdr:from>
    <xdr:to>
      <xdr:col>2</xdr:col>
      <xdr:colOff>95249</xdr:colOff>
      <xdr:row>25</xdr:row>
      <xdr:rowOff>76198</xdr:rowOff>
    </xdr:to>
    <xdr:sp macro="" textlink="">
      <xdr:nvSpPr>
        <xdr:cNvPr id="10" name="Forme automatique 4"/>
        <xdr:cNvSpPr>
          <a:spLocks noChangeArrowheads="1"/>
        </xdr:cNvSpPr>
      </xdr:nvSpPr>
      <xdr:spPr bwMode="auto">
        <a:xfrm flipV="1">
          <a:off x="1085850" y="5938485"/>
          <a:ext cx="228599" cy="348013"/>
        </a:xfrm>
        <a:prstGeom prst="downArrow">
          <a:avLst>
            <a:gd name="adj1" fmla="val 50000"/>
            <a:gd name="adj2" fmla="val 46429"/>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1754218</xdr:colOff>
      <xdr:row>40</xdr:row>
      <xdr:rowOff>20352</xdr:rowOff>
    </xdr:from>
    <xdr:to>
      <xdr:col>9</xdr:col>
      <xdr:colOff>566035</xdr:colOff>
      <xdr:row>41</xdr:row>
      <xdr:rowOff>50801</xdr:rowOff>
    </xdr:to>
    <xdr:sp macro="" textlink="">
      <xdr:nvSpPr>
        <xdr:cNvPr id="11" name="Forme automatique 5"/>
        <xdr:cNvSpPr>
          <a:spLocks noChangeArrowheads="1"/>
        </xdr:cNvSpPr>
      </xdr:nvSpPr>
      <xdr:spPr bwMode="auto">
        <a:xfrm rot="16200000">
          <a:off x="7433744" y="7086369"/>
          <a:ext cx="190500" cy="603610"/>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257175</xdr:colOff>
      <xdr:row>15</xdr:row>
      <xdr:rowOff>147201</xdr:rowOff>
    </xdr:from>
    <xdr:to>
      <xdr:col>1</xdr:col>
      <xdr:colOff>466725</xdr:colOff>
      <xdr:row>17</xdr:row>
      <xdr:rowOff>36364</xdr:rowOff>
    </xdr:to>
    <xdr:sp macro="" textlink="">
      <xdr:nvSpPr>
        <xdr:cNvPr id="2" name="Forme automatique 1"/>
        <xdr:cNvSpPr>
          <a:spLocks noChangeArrowheads="1"/>
        </xdr:cNvSpPr>
      </xdr:nvSpPr>
      <xdr:spPr bwMode="auto">
        <a:xfrm>
          <a:off x="1028700" y="2661801"/>
          <a:ext cx="209550" cy="213013"/>
        </a:xfrm>
        <a:prstGeom prst="downArrow">
          <a:avLst>
            <a:gd name="adj1" fmla="val 50000"/>
            <a:gd name="adj2" fmla="val 48864"/>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31</xdr:row>
      <xdr:rowOff>160189</xdr:rowOff>
    </xdr:from>
    <xdr:to>
      <xdr:col>1</xdr:col>
      <xdr:colOff>476250</xdr:colOff>
      <xdr:row>33</xdr:row>
      <xdr:rowOff>39828</xdr:rowOff>
    </xdr:to>
    <xdr:sp macro="" textlink="">
      <xdr:nvSpPr>
        <xdr:cNvPr id="3" name="Forme automatique 4"/>
        <xdr:cNvSpPr>
          <a:spLocks noChangeArrowheads="1"/>
        </xdr:cNvSpPr>
      </xdr:nvSpPr>
      <xdr:spPr bwMode="auto">
        <a:xfrm>
          <a:off x="1047750" y="5036989"/>
          <a:ext cx="200025" cy="222539"/>
        </a:xfrm>
        <a:prstGeom prst="downArrow">
          <a:avLst>
            <a:gd name="adj1" fmla="val 50000"/>
            <a:gd name="adj2" fmla="val 46429"/>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35</xdr:row>
      <xdr:rowOff>156725</xdr:rowOff>
    </xdr:from>
    <xdr:to>
      <xdr:col>1</xdr:col>
      <xdr:colOff>476250</xdr:colOff>
      <xdr:row>37</xdr:row>
      <xdr:rowOff>20778</xdr:rowOff>
    </xdr:to>
    <xdr:sp macro="" textlink="">
      <xdr:nvSpPr>
        <xdr:cNvPr id="4" name="Forme automatique 5"/>
        <xdr:cNvSpPr>
          <a:spLocks noChangeArrowheads="1"/>
        </xdr:cNvSpPr>
      </xdr:nvSpPr>
      <xdr:spPr bwMode="auto">
        <a:xfrm>
          <a:off x="1047750" y="5700275"/>
          <a:ext cx="200025" cy="206953"/>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276225</xdr:colOff>
      <xdr:row>39</xdr:row>
      <xdr:rowOff>147200</xdr:rowOff>
    </xdr:from>
    <xdr:to>
      <xdr:col>1</xdr:col>
      <xdr:colOff>476250</xdr:colOff>
      <xdr:row>41</xdr:row>
      <xdr:rowOff>11253</xdr:rowOff>
    </xdr:to>
    <xdr:sp macro="" textlink="">
      <xdr:nvSpPr>
        <xdr:cNvPr id="5" name="Forme automatique 6"/>
        <xdr:cNvSpPr>
          <a:spLocks noChangeArrowheads="1"/>
        </xdr:cNvSpPr>
      </xdr:nvSpPr>
      <xdr:spPr bwMode="auto">
        <a:xfrm>
          <a:off x="1047750" y="6357500"/>
          <a:ext cx="200025" cy="206953"/>
        </a:xfrm>
        <a:prstGeom prst="downArrow">
          <a:avLst>
            <a:gd name="adj1" fmla="val 50000"/>
            <a:gd name="adj2" fmla="val 25000"/>
          </a:avLst>
        </a:prstGeom>
        <a:solidFill>
          <a:srgbClr val="C0C0C0"/>
        </a:solidFill>
        <a:ln w="9360">
          <a:solidFill>
            <a:srgbClr val="80808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257175</xdr:colOff>
      <xdr:row>15</xdr:row>
      <xdr:rowOff>147201</xdr:rowOff>
    </xdr:from>
    <xdr:to>
      <xdr:col>1</xdr:col>
      <xdr:colOff>466725</xdr:colOff>
      <xdr:row>17</xdr:row>
      <xdr:rowOff>36364</xdr:rowOff>
    </xdr:to>
    <xdr:sp macro="" textlink="">
      <xdr:nvSpPr>
        <xdr:cNvPr id="6" name="Forme automatique 1"/>
        <xdr:cNvSpPr>
          <a:spLocks noChangeArrowheads="1"/>
        </xdr:cNvSpPr>
      </xdr:nvSpPr>
      <xdr:spPr bwMode="auto">
        <a:xfrm>
          <a:off x="1028700" y="2661801"/>
          <a:ext cx="209550" cy="213013"/>
        </a:xfrm>
        <a:prstGeom prst="downArrow">
          <a:avLst>
            <a:gd name="adj1" fmla="val 50000"/>
            <a:gd name="adj2" fmla="val 48864"/>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fr-CH"/>
        </a:p>
      </xdr:txBody>
    </xdr:sp>
    <xdr:clientData/>
  </xdr:twoCellAnchor>
  <xdr:twoCellAnchor>
    <xdr:from>
      <xdr:col>1</xdr:col>
      <xdr:colOff>285750</xdr:colOff>
      <xdr:row>23</xdr:row>
      <xdr:rowOff>160189</xdr:rowOff>
    </xdr:from>
    <xdr:to>
      <xdr:col>1</xdr:col>
      <xdr:colOff>485775</xdr:colOff>
      <xdr:row>25</xdr:row>
      <xdr:rowOff>23376</xdr:rowOff>
    </xdr:to>
    <xdr:sp macro="" textlink="">
      <xdr:nvSpPr>
        <xdr:cNvPr id="7" name="Forme automatique 2"/>
        <xdr:cNvSpPr>
          <a:spLocks noChangeArrowheads="1"/>
        </xdr:cNvSpPr>
      </xdr:nvSpPr>
      <xdr:spPr bwMode="auto">
        <a:xfrm>
          <a:off x="1057275" y="3332014"/>
          <a:ext cx="200025" cy="206087"/>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fr-CH"/>
        </a:p>
      </xdr:txBody>
    </xdr:sp>
    <xdr:clientData/>
  </xdr:twoCellAnchor>
  <xdr:twoCellAnchor>
    <xdr:from>
      <xdr:col>1</xdr:col>
      <xdr:colOff>266700</xdr:colOff>
      <xdr:row>27</xdr:row>
      <xdr:rowOff>166252</xdr:rowOff>
    </xdr:from>
    <xdr:to>
      <xdr:col>1</xdr:col>
      <xdr:colOff>485775</xdr:colOff>
      <xdr:row>29</xdr:row>
      <xdr:rowOff>85726</xdr:rowOff>
    </xdr:to>
    <xdr:sp macro="" textlink="">
      <xdr:nvSpPr>
        <xdr:cNvPr id="8" name="Forme automatique 3"/>
        <xdr:cNvSpPr>
          <a:spLocks noChangeArrowheads="1"/>
        </xdr:cNvSpPr>
      </xdr:nvSpPr>
      <xdr:spPr bwMode="auto">
        <a:xfrm>
          <a:off x="1038225" y="4604902"/>
          <a:ext cx="219075" cy="300474"/>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fr-CH"/>
        </a:p>
      </xdr:txBody>
    </xdr:sp>
    <xdr:clientData/>
  </xdr:twoCellAnchor>
  <xdr:twoCellAnchor>
    <xdr:from>
      <xdr:col>1</xdr:col>
      <xdr:colOff>276225</xdr:colOff>
      <xdr:row>35</xdr:row>
      <xdr:rowOff>156725</xdr:rowOff>
    </xdr:from>
    <xdr:to>
      <xdr:col>1</xdr:col>
      <xdr:colOff>476250</xdr:colOff>
      <xdr:row>37</xdr:row>
      <xdr:rowOff>20778</xdr:rowOff>
    </xdr:to>
    <xdr:sp macro="" textlink="">
      <xdr:nvSpPr>
        <xdr:cNvPr id="9" name="Forme automatique 5"/>
        <xdr:cNvSpPr>
          <a:spLocks noChangeArrowheads="1"/>
        </xdr:cNvSpPr>
      </xdr:nvSpPr>
      <xdr:spPr bwMode="auto">
        <a:xfrm>
          <a:off x="1047750" y="5700275"/>
          <a:ext cx="200025" cy="206953"/>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fr-CH"/>
        </a:p>
      </xdr:txBody>
    </xdr:sp>
    <xdr:clientData/>
  </xdr:twoCellAnchor>
  <xdr:twoCellAnchor>
    <xdr:from>
      <xdr:col>1</xdr:col>
      <xdr:colOff>276225</xdr:colOff>
      <xdr:row>39</xdr:row>
      <xdr:rowOff>147200</xdr:rowOff>
    </xdr:from>
    <xdr:to>
      <xdr:col>1</xdr:col>
      <xdr:colOff>476250</xdr:colOff>
      <xdr:row>41</xdr:row>
      <xdr:rowOff>11253</xdr:rowOff>
    </xdr:to>
    <xdr:sp macro="" textlink="">
      <xdr:nvSpPr>
        <xdr:cNvPr id="10" name="Forme automatique 6"/>
        <xdr:cNvSpPr>
          <a:spLocks noChangeArrowheads="1"/>
        </xdr:cNvSpPr>
      </xdr:nvSpPr>
      <xdr:spPr bwMode="auto">
        <a:xfrm>
          <a:off x="1047750" y="6357500"/>
          <a:ext cx="200025" cy="206953"/>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marL="0" indent="0"/>
          <a:endParaRPr lang="fr-CH" sz="1100">
            <a:latin typeface="+mn-lt"/>
            <a:ea typeface="+mn-ea"/>
            <a:cs typeface="+mn-cs"/>
          </a:endParaRPr>
        </a:p>
      </xdr:txBody>
    </xdr:sp>
    <xdr:clientData/>
  </xdr:twoCellAnchor>
  <xdr:twoCellAnchor>
    <xdr:from>
      <xdr:col>1</xdr:col>
      <xdr:colOff>247650</xdr:colOff>
      <xdr:row>43</xdr:row>
      <xdr:rowOff>147200</xdr:rowOff>
    </xdr:from>
    <xdr:to>
      <xdr:col>1</xdr:col>
      <xdr:colOff>504825</xdr:colOff>
      <xdr:row>45</xdr:row>
      <xdr:rowOff>57150</xdr:rowOff>
    </xdr:to>
    <xdr:sp macro="" textlink="">
      <xdr:nvSpPr>
        <xdr:cNvPr id="13" name="Forme automatique 5"/>
        <xdr:cNvSpPr>
          <a:spLocks noChangeArrowheads="1"/>
        </xdr:cNvSpPr>
      </xdr:nvSpPr>
      <xdr:spPr bwMode="auto">
        <a:xfrm>
          <a:off x="1019175" y="8700650"/>
          <a:ext cx="257175" cy="367150"/>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fr-CH"/>
        </a:p>
      </xdr:txBody>
    </xdr:sp>
    <xdr:clientData/>
  </xdr:twoCellAnchor>
  <xdr:twoCellAnchor>
    <xdr:from>
      <xdr:col>1</xdr:col>
      <xdr:colOff>276225</xdr:colOff>
      <xdr:row>47</xdr:row>
      <xdr:rowOff>147200</xdr:rowOff>
    </xdr:from>
    <xdr:to>
      <xdr:col>1</xdr:col>
      <xdr:colOff>485775</xdr:colOff>
      <xdr:row>49</xdr:row>
      <xdr:rowOff>104775</xdr:rowOff>
    </xdr:to>
    <xdr:sp macro="" textlink="">
      <xdr:nvSpPr>
        <xdr:cNvPr id="14" name="Forme automatique 6"/>
        <xdr:cNvSpPr>
          <a:spLocks noChangeArrowheads="1"/>
        </xdr:cNvSpPr>
      </xdr:nvSpPr>
      <xdr:spPr bwMode="auto">
        <a:xfrm>
          <a:off x="1047750" y="9481700"/>
          <a:ext cx="209550" cy="348100"/>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marL="0" indent="0"/>
          <a:endParaRPr lang="fr-CH" sz="1100">
            <a:latin typeface="+mn-lt"/>
            <a:ea typeface="+mn-ea"/>
            <a:cs typeface="+mn-cs"/>
          </a:endParaRPr>
        </a:p>
      </xdr:txBody>
    </xdr:sp>
    <xdr:clientData/>
  </xdr:twoCellAnchor>
  <xdr:twoCellAnchor>
    <xdr:from>
      <xdr:col>1</xdr:col>
      <xdr:colOff>257175</xdr:colOff>
      <xdr:row>19</xdr:row>
      <xdr:rowOff>169714</xdr:rowOff>
    </xdr:from>
    <xdr:to>
      <xdr:col>1</xdr:col>
      <xdr:colOff>457200</xdr:colOff>
      <xdr:row>21</xdr:row>
      <xdr:rowOff>32901</xdr:rowOff>
    </xdr:to>
    <xdr:sp macro="" textlink="">
      <xdr:nvSpPr>
        <xdr:cNvPr id="15" name="Forme automatique 2"/>
        <xdr:cNvSpPr>
          <a:spLocks noChangeArrowheads="1"/>
        </xdr:cNvSpPr>
      </xdr:nvSpPr>
      <xdr:spPr bwMode="auto">
        <a:xfrm>
          <a:off x="1028700" y="3846364"/>
          <a:ext cx="200025" cy="244187"/>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fr-CH"/>
        </a:p>
      </xdr:txBody>
    </xdr:sp>
    <xdr:clientData/>
  </xdr:twoCellAnchor>
  <xdr:twoCellAnchor>
    <xdr:from>
      <xdr:col>1</xdr:col>
      <xdr:colOff>266700</xdr:colOff>
      <xdr:row>51</xdr:row>
      <xdr:rowOff>118625</xdr:rowOff>
    </xdr:from>
    <xdr:to>
      <xdr:col>1</xdr:col>
      <xdr:colOff>476250</xdr:colOff>
      <xdr:row>53</xdr:row>
      <xdr:rowOff>142875</xdr:rowOff>
    </xdr:to>
    <xdr:sp macro="" textlink="">
      <xdr:nvSpPr>
        <xdr:cNvPr id="17" name="Forme automatique 5"/>
        <xdr:cNvSpPr>
          <a:spLocks noChangeArrowheads="1"/>
        </xdr:cNvSpPr>
      </xdr:nvSpPr>
      <xdr:spPr bwMode="auto">
        <a:xfrm>
          <a:off x="1038225" y="10157975"/>
          <a:ext cx="209550" cy="348100"/>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fr-CH"/>
        </a:p>
      </xdr:txBody>
    </xdr:sp>
    <xdr:clientData/>
  </xdr:twoCellAnchor>
  <xdr:twoCellAnchor>
    <xdr:from>
      <xdr:col>1</xdr:col>
      <xdr:colOff>276226</xdr:colOff>
      <xdr:row>55</xdr:row>
      <xdr:rowOff>147201</xdr:rowOff>
    </xdr:from>
    <xdr:to>
      <xdr:col>1</xdr:col>
      <xdr:colOff>447676</xdr:colOff>
      <xdr:row>57</xdr:row>
      <xdr:rowOff>114301</xdr:rowOff>
    </xdr:to>
    <xdr:sp macro="" textlink="">
      <xdr:nvSpPr>
        <xdr:cNvPr id="18" name="Forme automatique 6"/>
        <xdr:cNvSpPr>
          <a:spLocks noChangeArrowheads="1"/>
        </xdr:cNvSpPr>
      </xdr:nvSpPr>
      <xdr:spPr bwMode="auto">
        <a:xfrm>
          <a:off x="1047751" y="11158101"/>
          <a:ext cx="171450" cy="310000"/>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marL="0" indent="0"/>
          <a:endParaRPr lang="fr-CH" sz="1100">
            <a:latin typeface="+mn-lt"/>
            <a:ea typeface="+mn-ea"/>
            <a:cs typeface="+mn-cs"/>
          </a:endParaRPr>
        </a:p>
      </xdr:txBody>
    </xdr:sp>
    <xdr:clientData/>
  </xdr:twoCellAnchor>
  <xdr:twoCellAnchor>
    <xdr:from>
      <xdr:col>1</xdr:col>
      <xdr:colOff>276225</xdr:colOff>
      <xdr:row>60</xdr:row>
      <xdr:rowOff>147201</xdr:rowOff>
    </xdr:from>
    <xdr:to>
      <xdr:col>1</xdr:col>
      <xdr:colOff>476250</xdr:colOff>
      <xdr:row>62</xdr:row>
      <xdr:rowOff>47626</xdr:rowOff>
    </xdr:to>
    <xdr:sp macro="" textlink="">
      <xdr:nvSpPr>
        <xdr:cNvPr id="20" name="Forme automatique 6"/>
        <xdr:cNvSpPr>
          <a:spLocks noChangeArrowheads="1"/>
        </xdr:cNvSpPr>
      </xdr:nvSpPr>
      <xdr:spPr bwMode="auto">
        <a:xfrm>
          <a:off x="1047750" y="12034401"/>
          <a:ext cx="200025" cy="452875"/>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marL="0" indent="0"/>
          <a:endParaRPr lang="fr-CH" sz="1100">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1228725</xdr:colOff>
      <xdr:row>6</xdr:row>
      <xdr:rowOff>147201</xdr:rowOff>
    </xdr:from>
    <xdr:to>
      <xdr:col>1</xdr:col>
      <xdr:colOff>190500</xdr:colOff>
      <xdr:row>8</xdr:row>
      <xdr:rowOff>36364</xdr:rowOff>
    </xdr:to>
    <xdr:sp macro="" textlink="">
      <xdr:nvSpPr>
        <xdr:cNvPr id="6" name="Forme automatique 1"/>
        <xdr:cNvSpPr>
          <a:spLocks noChangeArrowheads="1"/>
        </xdr:cNvSpPr>
      </xdr:nvSpPr>
      <xdr:spPr bwMode="auto">
        <a:xfrm>
          <a:off x="1228725" y="1937901"/>
          <a:ext cx="209550" cy="355888"/>
        </a:xfrm>
        <a:prstGeom prst="downArrow">
          <a:avLst>
            <a:gd name="adj1" fmla="val 50000"/>
            <a:gd name="adj2" fmla="val 48864"/>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fr-CH"/>
        </a:p>
      </xdr:txBody>
    </xdr:sp>
    <xdr:clientData/>
  </xdr:twoCellAnchor>
  <xdr:twoCellAnchor>
    <xdr:from>
      <xdr:col>1</xdr:col>
      <xdr:colOff>9525</xdr:colOff>
      <xdr:row>14</xdr:row>
      <xdr:rowOff>160189</xdr:rowOff>
    </xdr:from>
    <xdr:to>
      <xdr:col>1</xdr:col>
      <xdr:colOff>209550</xdr:colOff>
      <xdr:row>16</xdr:row>
      <xdr:rowOff>23376</xdr:rowOff>
    </xdr:to>
    <xdr:sp macro="" textlink="">
      <xdr:nvSpPr>
        <xdr:cNvPr id="7" name="Forme automatique 2"/>
        <xdr:cNvSpPr>
          <a:spLocks noChangeArrowheads="1"/>
        </xdr:cNvSpPr>
      </xdr:nvSpPr>
      <xdr:spPr bwMode="auto">
        <a:xfrm>
          <a:off x="1257300" y="3455839"/>
          <a:ext cx="200025" cy="187037"/>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fr-CH"/>
        </a:p>
      </xdr:txBody>
    </xdr:sp>
    <xdr:clientData/>
  </xdr:twoCellAnchor>
  <xdr:twoCellAnchor>
    <xdr:from>
      <xdr:col>0</xdr:col>
      <xdr:colOff>1238250</xdr:colOff>
      <xdr:row>19</xdr:row>
      <xdr:rowOff>4327</xdr:rowOff>
    </xdr:from>
    <xdr:to>
      <xdr:col>1</xdr:col>
      <xdr:colOff>209550</xdr:colOff>
      <xdr:row>20</xdr:row>
      <xdr:rowOff>85726</xdr:rowOff>
    </xdr:to>
    <xdr:sp macro="" textlink="">
      <xdr:nvSpPr>
        <xdr:cNvPr id="8" name="Forme automatique 3"/>
        <xdr:cNvSpPr>
          <a:spLocks noChangeArrowheads="1"/>
        </xdr:cNvSpPr>
      </xdr:nvSpPr>
      <xdr:spPr bwMode="auto">
        <a:xfrm>
          <a:off x="1238250" y="4109602"/>
          <a:ext cx="219075" cy="376674"/>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fr-CH"/>
        </a:p>
      </xdr:txBody>
    </xdr:sp>
    <xdr:clientData/>
  </xdr:twoCellAnchor>
  <xdr:twoCellAnchor>
    <xdr:from>
      <xdr:col>0</xdr:col>
      <xdr:colOff>1228725</xdr:colOff>
      <xdr:row>10</xdr:row>
      <xdr:rowOff>160189</xdr:rowOff>
    </xdr:from>
    <xdr:to>
      <xdr:col>1</xdr:col>
      <xdr:colOff>180975</xdr:colOff>
      <xdr:row>12</xdr:row>
      <xdr:rowOff>32901</xdr:rowOff>
    </xdr:to>
    <xdr:sp macro="" textlink="">
      <xdr:nvSpPr>
        <xdr:cNvPr id="12" name="Forme automatique 2"/>
        <xdr:cNvSpPr>
          <a:spLocks noChangeArrowheads="1"/>
        </xdr:cNvSpPr>
      </xdr:nvSpPr>
      <xdr:spPr bwMode="auto">
        <a:xfrm>
          <a:off x="1228725" y="2741464"/>
          <a:ext cx="200025" cy="196562"/>
        </a:xfrm>
        <a:prstGeom prst="downArrow">
          <a:avLst>
            <a:gd name="adj1" fmla="val 50000"/>
            <a:gd name="adj2" fmla="val 25000"/>
          </a:avLst>
        </a:prstGeom>
        <a:solidFill>
          <a:srgbClr val="000000"/>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fr-CH"/>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761999</xdr:colOff>
      <xdr:row>6</xdr:row>
      <xdr:rowOff>123825</xdr:rowOff>
    </xdr:from>
    <xdr:to>
      <xdr:col>8</xdr:col>
      <xdr:colOff>144394</xdr:colOff>
      <xdr:row>33</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1999" y="1162050"/>
          <a:ext cx="5478395" cy="4324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209550</xdr:colOff>
      <xdr:row>15</xdr:row>
      <xdr:rowOff>33337</xdr:rowOff>
    </xdr:from>
    <xdr:to>
      <xdr:col>13</xdr:col>
      <xdr:colOff>209550</xdr:colOff>
      <xdr:row>31</xdr:row>
      <xdr:rowOff>119062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209550</xdr:colOff>
      <xdr:row>15</xdr:row>
      <xdr:rowOff>33337</xdr:rowOff>
    </xdr:from>
    <xdr:to>
      <xdr:col>13</xdr:col>
      <xdr:colOff>209550</xdr:colOff>
      <xdr:row>31</xdr:row>
      <xdr:rowOff>119062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209550</xdr:colOff>
      <xdr:row>15</xdr:row>
      <xdr:rowOff>33337</xdr:rowOff>
    </xdr:from>
    <xdr:to>
      <xdr:col>13</xdr:col>
      <xdr:colOff>209550</xdr:colOff>
      <xdr:row>31</xdr:row>
      <xdr:rowOff>119062</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cmi.epfl.ch/photo/photo_process/files/mr-DWL_en_102013.pdf" TargetMode="External"/><Relationship Id="rId2" Type="http://schemas.openxmlformats.org/officeDocument/2006/relationships/hyperlink" Target="https://cmi.epfl.ch/photo/photo_process/files/mr-DWL_en_102013.pdf" TargetMode="External"/><Relationship Id="rId1" Type="http://schemas.openxmlformats.org/officeDocument/2006/relationships/hyperlink" Target="http://microresist.de/en/product/negative-photoresists-2"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swissvacuum.com/vacuum-division" TargetMode="External"/><Relationship Id="rId2" Type="http://schemas.openxmlformats.org/officeDocument/2006/relationships/hyperlink" Target="https://harrickplasma.com/plasma-cleaners/basic-plasma-cleaner/" TargetMode="External"/><Relationship Id="rId1" Type="http://schemas.openxmlformats.org/officeDocument/2006/relationships/hyperlink" Target="https://shop.llg-labware.com/info466_Universal_drying_oven_LLG-uniiOVENi_lang_UK.htm?UID=55005feb15d8000000000000"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www.xyzprinting.com/en/product/uv-curing-chamber"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swissvacuum.com/vacuum-division" TargetMode="External"/><Relationship Id="rId7" Type="http://schemas.openxmlformats.org/officeDocument/2006/relationships/printerSettings" Target="../printerSettings/printerSettings4.bin"/><Relationship Id="rId2" Type="http://schemas.openxmlformats.org/officeDocument/2006/relationships/hyperlink" Target="https://harrickplasma.com/plasma-cleaners/basic-plasma-cleaner/" TargetMode="External"/><Relationship Id="rId1" Type="http://schemas.openxmlformats.org/officeDocument/2006/relationships/hyperlink" Target="https://shop.llg-labware.com/info466_Universal_drying_oven_LLG-uniiOVENi_lang_UK.htm?UID=55005feb15d8000000000000" TargetMode="External"/><Relationship Id="rId6" Type="http://schemas.openxmlformats.org/officeDocument/2006/relationships/hyperlink" Target="http://www.microchem.com/Prod-SU83000.htm" TargetMode="External"/><Relationship Id="rId5" Type="http://schemas.openxmlformats.org/officeDocument/2006/relationships/hyperlink" Target="https://onlinelibrary.wiley.com/doi/10.1002/smll.200400159" TargetMode="External"/><Relationship Id="rId4" Type="http://schemas.openxmlformats.org/officeDocument/2006/relationships/hyperlink" Target="https://www.xyzprinting.com/en/product/uv-curing-chambe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www.microchem.com/Prod-SU83000.htm" TargetMode="External"/><Relationship Id="rId2" Type="http://schemas.openxmlformats.org/officeDocument/2006/relationships/hyperlink" Target="https://www.polysciences.com/german/poly-acrylic-acid-25-soln-in-water-mw-50-000" TargetMode="External"/><Relationship Id="rId1" Type="http://schemas.openxmlformats.org/officeDocument/2006/relationships/hyperlink" Target="https://www.polysciences.com/german/poly-acrylic-acid-25-soln-in-water-mw-50-000"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onlinelibrary.wiley.com/doi/10.1002/smll.200400159"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7"/>
  <sheetViews>
    <sheetView workbookViewId="0">
      <selection activeCell="K12" sqref="K12"/>
    </sheetView>
  </sheetViews>
  <sheetFormatPr defaultColWidth="11.42578125" defaultRowHeight="15" x14ac:dyDescent="0.2"/>
  <cols>
    <col min="1" max="1" width="11.42578125" style="56"/>
    <col min="2" max="2" width="11.85546875" style="46" customWidth="1"/>
    <col min="3" max="5" width="11.42578125" style="56"/>
    <col min="6" max="6" width="11.42578125" style="56" customWidth="1"/>
    <col min="7" max="16384" width="11.42578125" style="56"/>
  </cols>
  <sheetData>
    <row r="3" spans="2:9" ht="20.25" x14ac:dyDescent="0.3">
      <c r="B3" s="219" t="s">
        <v>239</v>
      </c>
      <c r="C3" s="219"/>
      <c r="D3" s="219"/>
      <c r="E3" s="219"/>
      <c r="F3" s="219"/>
    </row>
    <row r="4" spans="2:9" ht="14.25" customHeight="1" x14ac:dyDescent="0.3">
      <c r="B4" s="45"/>
    </row>
    <row r="6" spans="2:9" ht="15.75" x14ac:dyDescent="0.25">
      <c r="B6" s="220" t="s">
        <v>133</v>
      </c>
      <c r="C6" s="220"/>
      <c r="D6" s="220"/>
      <c r="E6" s="220"/>
    </row>
    <row r="7" spans="2:9" ht="15.75" x14ac:dyDescent="0.25">
      <c r="B7" s="62"/>
    </row>
    <row r="8" spans="2:9" ht="15.75" x14ac:dyDescent="0.25">
      <c r="B8" s="47"/>
      <c r="I8" s="64"/>
    </row>
    <row r="9" spans="2:9" ht="15" customHeight="1" x14ac:dyDescent="0.2">
      <c r="B9" s="221" t="s">
        <v>130</v>
      </c>
      <c r="C9" s="221"/>
      <c r="D9" s="221"/>
      <c r="E9" s="224" t="s">
        <v>132</v>
      </c>
      <c r="F9" s="224"/>
      <c r="G9" s="224"/>
      <c r="H9" s="224"/>
      <c r="I9" s="224"/>
    </row>
    <row r="10" spans="2:9" ht="15" customHeight="1" x14ac:dyDescent="0.25">
      <c r="B10" s="222" t="s">
        <v>129</v>
      </c>
      <c r="C10" s="222"/>
      <c r="D10" s="222"/>
      <c r="F10" s="64"/>
    </row>
    <row r="11" spans="2:9" x14ac:dyDescent="0.2">
      <c r="B11" s="48"/>
      <c r="C11" s="63"/>
      <c r="D11" s="48"/>
      <c r="E11" s="46"/>
    </row>
    <row r="13" spans="2:9" ht="14.25" customHeight="1" x14ac:dyDescent="0.2">
      <c r="B13" s="221" t="s">
        <v>131</v>
      </c>
      <c r="C13" s="221"/>
      <c r="D13" s="221"/>
      <c r="F13" s="93"/>
      <c r="G13" s="93"/>
    </row>
    <row r="14" spans="2:9" ht="14.25" customHeight="1" x14ac:dyDescent="0.2">
      <c r="B14" s="223" t="s">
        <v>222</v>
      </c>
      <c r="C14" s="223"/>
      <c r="D14" s="223"/>
      <c r="E14" s="92"/>
      <c r="F14" s="92"/>
      <c r="G14" s="92"/>
      <c r="H14" s="91"/>
      <c r="I14" s="91"/>
    </row>
    <row r="17" spans="1:5" ht="15.75" x14ac:dyDescent="0.2">
      <c r="B17" s="221" t="s">
        <v>134</v>
      </c>
      <c r="C17" s="221"/>
      <c r="D17" s="221"/>
    </row>
    <row r="18" spans="1:5" ht="15.75" x14ac:dyDescent="0.2">
      <c r="B18" s="223" t="s">
        <v>238</v>
      </c>
      <c r="C18" s="223"/>
      <c r="D18" s="223"/>
    </row>
    <row r="19" spans="1:5" ht="15.75" x14ac:dyDescent="0.2">
      <c r="B19" s="141"/>
      <c r="C19" s="141"/>
      <c r="D19" s="141"/>
    </row>
    <row r="21" spans="1:5" ht="15.75" x14ac:dyDescent="0.2">
      <c r="B21" s="221" t="s">
        <v>142</v>
      </c>
      <c r="C21" s="221"/>
      <c r="D21" s="221"/>
    </row>
    <row r="22" spans="1:5" ht="15.75" x14ac:dyDescent="0.2">
      <c r="B22" s="223" t="s">
        <v>141</v>
      </c>
      <c r="C22" s="223"/>
      <c r="D22" s="223"/>
    </row>
    <row r="25" spans="1:5" ht="15.75" customHeight="1" x14ac:dyDescent="0.2">
      <c r="A25" s="218" t="s">
        <v>221</v>
      </c>
      <c r="B25" s="218"/>
      <c r="C25" s="218"/>
      <c r="D25" s="218"/>
      <c r="E25" s="218"/>
    </row>
    <row r="26" spans="1:5" ht="15" customHeight="1" x14ac:dyDescent="0.2">
      <c r="A26" s="218"/>
      <c r="B26" s="218"/>
      <c r="C26" s="218"/>
      <c r="D26" s="218"/>
      <c r="E26" s="218"/>
    </row>
    <row r="27" spans="1:5" ht="15" customHeight="1" x14ac:dyDescent="0.2">
      <c r="A27" s="218"/>
      <c r="B27" s="218"/>
      <c r="C27" s="218"/>
      <c r="D27" s="218"/>
      <c r="E27" s="218"/>
    </row>
  </sheetData>
  <mergeCells count="12">
    <mergeCell ref="A25:E27"/>
    <mergeCell ref="B3:F3"/>
    <mergeCell ref="B6:E6"/>
    <mergeCell ref="B9:D9"/>
    <mergeCell ref="B13:D13"/>
    <mergeCell ref="B17:D17"/>
    <mergeCell ref="B10:D10"/>
    <mergeCell ref="B14:D14"/>
    <mergeCell ref="B18:D18"/>
    <mergeCell ref="B22:D22"/>
    <mergeCell ref="E9:I9"/>
    <mergeCell ref="B21:D21"/>
  </mergeCells>
  <hyperlinks>
    <hyperlink ref="B14" location="'Z13 MCC Summary'!A1" display="Su8 3000 series"/>
    <hyperlink ref="B14:D14" location="'Numbered Windows'!A1" display="Numbered windows"/>
    <hyperlink ref="B18" location="'Z13 MCC Summary'!A1" display="Su8 3000 series"/>
    <hyperlink ref="B18:D18" location="'Compliant Holder'!A1" display="Remounting stage"/>
    <hyperlink ref="B22" location="Gersteltec!A1" display="GM 1000 series"/>
    <hyperlink ref="B22:D22" location="'Molds for V-shape implants'!A1" display="Molds for V-shape implants"/>
    <hyperlink ref="B10:D10" location="'V-shape Implants'!A1" display="V-shape implan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G14" sqref="G14"/>
    </sheetView>
  </sheetViews>
  <sheetFormatPr defaultColWidth="11.42578125" defaultRowHeight="12.75" x14ac:dyDescent="0.2"/>
  <cols>
    <col min="1" max="1" width="15" style="56" customWidth="1"/>
    <col min="2" max="2" width="15.42578125" style="56" customWidth="1"/>
    <col min="3" max="5" width="15" style="56" customWidth="1"/>
    <col min="6" max="16384" width="11.42578125" style="56"/>
  </cols>
  <sheetData>
    <row r="1" spans="1:8" ht="18" x14ac:dyDescent="0.25">
      <c r="A1" s="21" t="s">
        <v>81</v>
      </c>
      <c r="E1" s="49" t="s">
        <v>46</v>
      </c>
    </row>
    <row r="2" spans="1:8" ht="39.75" x14ac:dyDescent="0.2">
      <c r="A2" s="68" t="s">
        <v>41</v>
      </c>
      <c r="B2" s="68" t="s">
        <v>42</v>
      </c>
      <c r="C2" s="68"/>
      <c r="D2" s="68" t="s">
        <v>42</v>
      </c>
      <c r="E2" s="68" t="s">
        <v>43</v>
      </c>
      <c r="F2" s="68" t="s">
        <v>71</v>
      </c>
      <c r="G2" s="68" t="s">
        <v>73</v>
      </c>
      <c r="H2" s="68" t="s">
        <v>75</v>
      </c>
    </row>
    <row r="3" spans="1:8" x14ac:dyDescent="0.2">
      <c r="A3" s="68">
        <v>1000</v>
      </c>
      <c r="B3" s="68">
        <v>13</v>
      </c>
      <c r="C3" s="68"/>
      <c r="D3" s="68">
        <v>10</v>
      </c>
      <c r="E3" s="68">
        <v>200</v>
      </c>
      <c r="F3" s="68">
        <v>3</v>
      </c>
      <c r="G3" s="68">
        <v>2</v>
      </c>
      <c r="H3" s="68">
        <v>3</v>
      </c>
    </row>
    <row r="4" spans="1:8" ht="12.75" customHeight="1" x14ac:dyDescent="0.2">
      <c r="A4" s="22">
        <v>2000</v>
      </c>
      <c r="B4" s="22">
        <v>7.5</v>
      </c>
      <c r="C4" s="22"/>
      <c r="D4" s="22">
        <v>4</v>
      </c>
      <c r="E4" s="103">
        <v>100</v>
      </c>
      <c r="F4" s="22">
        <v>2</v>
      </c>
      <c r="G4" s="22">
        <v>1</v>
      </c>
      <c r="H4" s="22">
        <v>1</v>
      </c>
    </row>
    <row r="5" spans="1:8" ht="12.75" customHeight="1" x14ac:dyDescent="0.2">
      <c r="A5" s="22">
        <v>3000</v>
      </c>
      <c r="B5" s="22">
        <v>5</v>
      </c>
      <c r="C5" s="22"/>
      <c r="D5" s="22"/>
      <c r="E5" s="103"/>
    </row>
    <row r="6" spans="1:8" x14ac:dyDescent="0.2">
      <c r="A6" s="22">
        <v>4000</v>
      </c>
      <c r="B6" s="22">
        <v>4</v>
      </c>
      <c r="C6" s="22"/>
      <c r="D6" s="22"/>
      <c r="E6" s="103"/>
    </row>
    <row r="7" spans="1:8" x14ac:dyDescent="0.2">
      <c r="A7" s="22">
        <v>5000</v>
      </c>
      <c r="B7" s="22">
        <v>3.5</v>
      </c>
      <c r="C7" s="22"/>
      <c r="D7" s="22"/>
      <c r="E7" s="22"/>
    </row>
    <row r="8" spans="1:8" x14ac:dyDescent="0.2">
      <c r="A8" s="22"/>
      <c r="B8" s="22"/>
      <c r="C8" s="22"/>
      <c r="D8" s="22"/>
      <c r="E8" s="22"/>
    </row>
    <row r="12" spans="1:8" ht="38.25" x14ac:dyDescent="0.2">
      <c r="A12" s="69"/>
      <c r="B12" s="101" t="s">
        <v>64</v>
      </c>
      <c r="C12" s="101" t="s">
        <v>41</v>
      </c>
      <c r="D12" s="101" t="s">
        <v>63</v>
      </c>
      <c r="E12" s="101" t="s">
        <v>72</v>
      </c>
      <c r="F12" s="101" t="s">
        <v>74</v>
      </c>
      <c r="G12" s="101" t="s">
        <v>76</v>
      </c>
    </row>
    <row r="13" spans="1:8" x14ac:dyDescent="0.2">
      <c r="A13" s="110" t="s">
        <v>45</v>
      </c>
      <c r="B13" s="67">
        <f>'Z01 MR Summary'!F6</f>
        <v>50</v>
      </c>
      <c r="C13" s="2">
        <f>(B13/4187.3)^(-1/0.836)</f>
        <v>199.61641853186791</v>
      </c>
      <c r="D13" s="2">
        <f>B13*15.385+269</f>
        <v>1038.25</v>
      </c>
      <c r="E13" s="106">
        <f>B13*0.1667+1.333</f>
        <v>9.6679999999999993</v>
      </c>
      <c r="F13" s="106">
        <f>B13*0.3077+3.3845</f>
        <v>18.769499999999997</v>
      </c>
      <c r="G13" s="106">
        <f>B13*0.1538-0.307+2</f>
        <v>9.3829999999999991</v>
      </c>
    </row>
    <row r="14" spans="1:8" x14ac:dyDescent="0.2">
      <c r="A14" s="110"/>
      <c r="B14" s="105"/>
      <c r="C14" s="2"/>
      <c r="D14" s="2"/>
    </row>
    <row r="15" spans="1:8" x14ac:dyDescent="0.2">
      <c r="A15" s="71"/>
      <c r="B15" s="72"/>
      <c r="C15" s="28"/>
    </row>
    <row r="16" spans="1:8" x14ac:dyDescent="0.2">
      <c r="A16" s="110"/>
      <c r="B16" s="110"/>
    </row>
    <row r="17" spans="1:5" x14ac:dyDescent="0.2">
      <c r="A17" s="110"/>
      <c r="B17" s="110"/>
    </row>
    <row r="18" spans="1:5" ht="18" x14ac:dyDescent="0.25">
      <c r="D18" s="49"/>
    </row>
    <row r="20" spans="1:5" x14ac:dyDescent="0.2">
      <c r="E20" s="25"/>
    </row>
  </sheetData>
  <hyperlinks>
    <hyperlink ref="B13" location="Z01Summary!G6" display="Z01Summary!G6"/>
    <hyperlink ref="E1" location="Home!A5" display="Home"/>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K12" sqref="K12"/>
    </sheetView>
  </sheetViews>
  <sheetFormatPr defaultColWidth="11.42578125" defaultRowHeight="12.75" x14ac:dyDescent="0.2"/>
  <cols>
    <col min="1" max="1" width="15" style="56" customWidth="1"/>
    <col min="2" max="2" width="15.42578125" style="56" customWidth="1"/>
    <col min="3" max="5" width="15" style="56" customWidth="1"/>
    <col min="6" max="16384" width="11.42578125" style="56"/>
  </cols>
  <sheetData>
    <row r="1" spans="1:8" ht="18" x14ac:dyDescent="0.25">
      <c r="A1" s="21" t="s">
        <v>66</v>
      </c>
      <c r="E1" s="49" t="s">
        <v>46</v>
      </c>
    </row>
    <row r="2" spans="1:8" ht="39.75" x14ac:dyDescent="0.2">
      <c r="A2" s="68" t="s">
        <v>41</v>
      </c>
      <c r="B2" s="68" t="s">
        <v>42</v>
      </c>
      <c r="C2" s="68"/>
      <c r="D2" s="68" t="s">
        <v>42</v>
      </c>
      <c r="E2" s="68" t="s">
        <v>43</v>
      </c>
      <c r="F2" s="68" t="s">
        <v>71</v>
      </c>
      <c r="G2" s="68" t="s">
        <v>73</v>
      </c>
      <c r="H2" s="68" t="s">
        <v>75</v>
      </c>
    </row>
    <row r="3" spans="1:8" x14ac:dyDescent="0.2">
      <c r="A3" s="68">
        <v>1000</v>
      </c>
      <c r="B3" s="68">
        <v>10</v>
      </c>
      <c r="C3" s="68"/>
      <c r="D3" s="68">
        <v>10</v>
      </c>
      <c r="E3" s="68">
        <v>200</v>
      </c>
      <c r="F3" s="68">
        <v>3</v>
      </c>
      <c r="G3" s="68">
        <v>2</v>
      </c>
      <c r="H3" s="68">
        <v>3</v>
      </c>
    </row>
    <row r="4" spans="1:8" ht="12.75" customHeight="1" x14ac:dyDescent="0.2">
      <c r="A4" s="22">
        <v>2000</v>
      </c>
      <c r="B4" s="22">
        <v>7.5</v>
      </c>
      <c r="C4" s="22"/>
      <c r="D4" s="22">
        <v>4</v>
      </c>
      <c r="E4" s="103">
        <v>100</v>
      </c>
      <c r="F4" s="22">
        <v>2</v>
      </c>
      <c r="G4" s="22">
        <v>1</v>
      </c>
      <c r="H4" s="22">
        <v>1</v>
      </c>
    </row>
    <row r="5" spans="1:8" ht="12.75" customHeight="1" x14ac:dyDescent="0.2">
      <c r="A5" s="22">
        <v>3000</v>
      </c>
      <c r="B5" s="22">
        <v>6</v>
      </c>
      <c r="C5" s="22"/>
      <c r="D5" s="22"/>
      <c r="E5" s="103"/>
    </row>
    <row r="6" spans="1:8" x14ac:dyDescent="0.2">
      <c r="A6" s="22">
        <v>4000</v>
      </c>
      <c r="B6" s="22">
        <v>5</v>
      </c>
      <c r="C6" s="22"/>
      <c r="D6" s="22"/>
      <c r="E6" s="103"/>
    </row>
    <row r="7" spans="1:8" x14ac:dyDescent="0.2">
      <c r="A7" s="22">
        <v>5000</v>
      </c>
      <c r="B7" s="22">
        <v>4.5</v>
      </c>
      <c r="C7" s="22"/>
      <c r="D7" s="22"/>
      <c r="E7" s="22"/>
    </row>
    <row r="8" spans="1:8" x14ac:dyDescent="0.2">
      <c r="A8" s="22"/>
      <c r="B8" s="22"/>
      <c r="C8" s="22"/>
      <c r="D8" s="22"/>
      <c r="E8" s="22"/>
    </row>
    <row r="12" spans="1:8" ht="38.25" x14ac:dyDescent="0.2">
      <c r="A12" s="69"/>
      <c r="B12" s="101" t="s">
        <v>64</v>
      </c>
      <c r="C12" s="101" t="s">
        <v>41</v>
      </c>
      <c r="D12" s="101" t="s">
        <v>63</v>
      </c>
      <c r="E12" s="101" t="s">
        <v>72</v>
      </c>
      <c r="F12" s="101" t="s">
        <v>74</v>
      </c>
      <c r="G12" s="101" t="s">
        <v>76</v>
      </c>
    </row>
    <row r="13" spans="1:8" x14ac:dyDescent="0.2">
      <c r="A13" s="104" t="s">
        <v>45</v>
      </c>
      <c r="B13" s="67">
        <f>'Numbered Windows'!F6</f>
        <v>0</v>
      </c>
      <c r="C13" s="2" t="e">
        <f>(B13/332.56)^(-1/0.504)</f>
        <v>#DIV/0!</v>
      </c>
      <c r="D13" s="2">
        <f>B13*16.7+33</f>
        <v>33</v>
      </c>
      <c r="E13" s="106">
        <f>B13*0.1667+1.333</f>
        <v>1.333</v>
      </c>
      <c r="F13" s="106">
        <f>B13*0.1667+0.3333</f>
        <v>0.33329999999999999</v>
      </c>
      <c r="G13" s="106">
        <f>B13*0.333-0.333</f>
        <v>-0.33300000000000002</v>
      </c>
    </row>
    <row r="14" spans="1:8" x14ac:dyDescent="0.2">
      <c r="A14" s="104"/>
      <c r="B14" s="105"/>
      <c r="C14" s="2"/>
      <c r="D14" s="2"/>
    </row>
    <row r="15" spans="1:8" x14ac:dyDescent="0.2">
      <c r="A15" s="71"/>
      <c r="B15" s="72"/>
      <c r="C15" s="28"/>
    </row>
    <row r="16" spans="1:8" x14ac:dyDescent="0.2">
      <c r="A16" s="104"/>
      <c r="B16" s="104"/>
    </row>
    <row r="17" spans="1:5" x14ac:dyDescent="0.2">
      <c r="A17" s="104"/>
      <c r="B17" s="104"/>
    </row>
    <row r="18" spans="1:5" ht="18" x14ac:dyDescent="0.25">
      <c r="D18" s="49"/>
    </row>
    <row r="20" spans="1:5" x14ac:dyDescent="0.2">
      <c r="E20" s="25"/>
    </row>
  </sheetData>
  <hyperlinks>
    <hyperlink ref="B13" location="Z01Summary!G6" display="Z01Summary!G6"/>
    <hyperlink ref="E1" location="Home!A5" display="Home"/>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G12" sqref="G12:G13"/>
    </sheetView>
  </sheetViews>
  <sheetFormatPr defaultColWidth="11.42578125" defaultRowHeight="12.75" x14ac:dyDescent="0.2"/>
  <cols>
    <col min="1" max="1" width="15" style="56" customWidth="1"/>
    <col min="2" max="2" width="15.42578125" style="56" customWidth="1"/>
    <col min="3" max="5" width="15" style="56" customWidth="1"/>
    <col min="6" max="16384" width="11.42578125" style="56"/>
  </cols>
  <sheetData>
    <row r="1" spans="1:8" ht="18" x14ac:dyDescent="0.25">
      <c r="A1" s="21" t="s">
        <v>67</v>
      </c>
      <c r="E1" s="49" t="s">
        <v>46</v>
      </c>
    </row>
    <row r="2" spans="1:8" ht="39.75" x14ac:dyDescent="0.2">
      <c r="A2" s="68" t="s">
        <v>41</v>
      </c>
      <c r="B2" s="68" t="s">
        <v>42</v>
      </c>
      <c r="C2" s="68"/>
      <c r="D2" s="68" t="s">
        <v>42</v>
      </c>
      <c r="E2" s="68" t="s">
        <v>43</v>
      </c>
      <c r="F2" s="68" t="s">
        <v>71</v>
      </c>
      <c r="G2" s="68" t="s">
        <v>73</v>
      </c>
      <c r="H2" s="68" t="s">
        <v>75</v>
      </c>
    </row>
    <row r="3" spans="1:8" x14ac:dyDescent="0.2">
      <c r="A3" s="68">
        <v>1000</v>
      </c>
      <c r="B3" s="68">
        <v>18.5</v>
      </c>
      <c r="C3" s="68"/>
      <c r="D3" s="68">
        <v>15</v>
      </c>
      <c r="E3" s="68">
        <v>200</v>
      </c>
      <c r="F3" s="68">
        <v>10</v>
      </c>
      <c r="G3" s="68">
        <v>4</v>
      </c>
      <c r="H3" s="68">
        <v>6</v>
      </c>
    </row>
    <row r="4" spans="1:8" ht="12.75" customHeight="1" x14ac:dyDescent="0.2">
      <c r="A4" s="22">
        <v>2000</v>
      </c>
      <c r="B4" s="22">
        <v>13</v>
      </c>
      <c r="C4" s="22"/>
      <c r="D4" s="22">
        <v>8</v>
      </c>
      <c r="E4" s="103">
        <v>125</v>
      </c>
      <c r="F4" s="22">
        <v>5</v>
      </c>
      <c r="G4" s="22">
        <v>2</v>
      </c>
      <c r="H4" s="22">
        <v>4</v>
      </c>
    </row>
    <row r="5" spans="1:8" ht="12.75" customHeight="1" x14ac:dyDescent="0.2">
      <c r="A5" s="22">
        <v>3000</v>
      </c>
      <c r="B5" s="22">
        <v>10.7</v>
      </c>
      <c r="C5" s="22"/>
      <c r="D5" s="22"/>
      <c r="E5" s="103"/>
    </row>
    <row r="6" spans="1:8" x14ac:dyDescent="0.2">
      <c r="A6" s="22">
        <v>4000</v>
      </c>
      <c r="B6" s="22">
        <v>9.5</v>
      </c>
      <c r="C6" s="22"/>
      <c r="D6" s="22"/>
      <c r="E6" s="103"/>
    </row>
    <row r="7" spans="1:8" x14ac:dyDescent="0.2">
      <c r="A7" s="22">
        <v>5000</v>
      </c>
      <c r="B7" s="22">
        <v>8.6999999999999993</v>
      </c>
      <c r="C7" s="22"/>
      <c r="D7" s="22"/>
      <c r="E7" s="22"/>
    </row>
    <row r="8" spans="1:8" x14ac:dyDescent="0.2">
      <c r="A8" s="22"/>
      <c r="B8" s="22"/>
      <c r="C8" s="22"/>
      <c r="D8" s="22"/>
      <c r="E8" s="22"/>
    </row>
    <row r="12" spans="1:8" ht="38.25" x14ac:dyDescent="0.2">
      <c r="A12" s="69"/>
      <c r="B12" s="101" t="s">
        <v>64</v>
      </c>
      <c r="C12" s="101" t="s">
        <v>41</v>
      </c>
      <c r="D12" s="101" t="s">
        <v>63</v>
      </c>
      <c r="E12" s="101" t="s">
        <v>72</v>
      </c>
      <c r="F12" s="101" t="s">
        <v>74</v>
      </c>
      <c r="G12" s="101" t="s">
        <v>76</v>
      </c>
    </row>
    <row r="13" spans="1:8" x14ac:dyDescent="0.2">
      <c r="A13" s="104" t="s">
        <v>45</v>
      </c>
      <c r="B13" s="67">
        <f>'Numbered Windows'!F6</f>
        <v>0</v>
      </c>
      <c r="C13" s="2" t="e">
        <f>(B13/474.21)^(-1/0.471)</f>
        <v>#DIV/0!</v>
      </c>
      <c r="D13" s="2">
        <f>B13*10.7+39.5</f>
        <v>39.5</v>
      </c>
      <c r="E13" s="106">
        <f>B13*0.714-0.714</f>
        <v>-0.71399999999999997</v>
      </c>
      <c r="F13" s="106">
        <f>B13*0.2857-0.2857</f>
        <v>-0.28570000000000001</v>
      </c>
      <c r="G13" s="106">
        <f>B13*0.2857+1.7145</f>
        <v>1.7144999999999999</v>
      </c>
    </row>
    <row r="14" spans="1:8" x14ac:dyDescent="0.2">
      <c r="A14" s="104"/>
      <c r="B14" s="105"/>
      <c r="C14" s="2"/>
      <c r="D14" s="2"/>
    </row>
    <row r="15" spans="1:8" x14ac:dyDescent="0.2">
      <c r="A15" s="71"/>
      <c r="B15" s="72"/>
      <c r="C15" s="28"/>
    </row>
    <row r="16" spans="1:8" x14ac:dyDescent="0.2">
      <c r="A16" s="104"/>
      <c r="B16" s="104"/>
    </row>
    <row r="17" spans="1:5" x14ac:dyDescent="0.2">
      <c r="A17" s="104"/>
      <c r="B17" s="104"/>
    </row>
    <row r="18" spans="1:5" ht="18" x14ac:dyDescent="0.25">
      <c r="D18" s="49"/>
    </row>
    <row r="20" spans="1:5" x14ac:dyDescent="0.2">
      <c r="E20" s="25"/>
    </row>
  </sheetData>
  <hyperlinks>
    <hyperlink ref="B13" location="Z01Summary!G6" display="Z01Summary!G6"/>
    <hyperlink ref="E1" location="Home!A5" display="Home"/>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G12" sqref="G12:G13"/>
    </sheetView>
  </sheetViews>
  <sheetFormatPr defaultColWidth="11.42578125" defaultRowHeight="12.75" x14ac:dyDescent="0.2"/>
  <cols>
    <col min="1" max="1" width="15" style="56" customWidth="1"/>
    <col min="2" max="2" width="15.42578125" style="56" customWidth="1"/>
    <col min="3" max="5" width="15" style="56" customWidth="1"/>
    <col min="6" max="16384" width="11.42578125" style="56"/>
  </cols>
  <sheetData>
    <row r="1" spans="1:8" ht="18" x14ac:dyDescent="0.25">
      <c r="A1" s="21" t="s">
        <v>68</v>
      </c>
      <c r="E1" s="49" t="s">
        <v>46</v>
      </c>
    </row>
    <row r="2" spans="1:8" ht="39.75" x14ac:dyDescent="0.2">
      <c r="A2" s="68" t="s">
        <v>41</v>
      </c>
      <c r="B2" s="68" t="s">
        <v>42</v>
      </c>
      <c r="C2" s="68"/>
      <c r="D2" s="68" t="s">
        <v>42</v>
      </c>
      <c r="E2" s="68" t="s">
        <v>43</v>
      </c>
      <c r="F2" s="68" t="s">
        <v>71</v>
      </c>
      <c r="G2" s="68" t="s">
        <v>73</v>
      </c>
      <c r="H2" s="68" t="s">
        <v>75</v>
      </c>
    </row>
    <row r="3" spans="1:8" x14ac:dyDescent="0.2">
      <c r="A3" s="68">
        <v>1000</v>
      </c>
      <c r="B3" s="68">
        <v>68</v>
      </c>
      <c r="C3" s="68"/>
      <c r="D3" s="68">
        <v>50</v>
      </c>
      <c r="E3" s="68">
        <v>250</v>
      </c>
      <c r="F3" s="68">
        <v>15</v>
      </c>
      <c r="G3" s="68">
        <v>5</v>
      </c>
      <c r="H3" s="68">
        <v>8</v>
      </c>
    </row>
    <row r="4" spans="1:8" ht="12.75" customHeight="1" x14ac:dyDescent="0.2">
      <c r="A4" s="22">
        <v>2000</v>
      </c>
      <c r="B4" s="22">
        <v>39</v>
      </c>
      <c r="C4" s="22"/>
      <c r="D4" s="22">
        <v>20</v>
      </c>
      <c r="E4" s="103">
        <v>150</v>
      </c>
      <c r="F4" s="22">
        <v>10</v>
      </c>
      <c r="G4" s="22">
        <v>3</v>
      </c>
      <c r="H4" s="22">
        <v>5</v>
      </c>
    </row>
    <row r="5" spans="1:8" ht="12.75" customHeight="1" x14ac:dyDescent="0.2">
      <c r="A5" s="22">
        <v>3000</v>
      </c>
      <c r="B5" s="22">
        <v>27</v>
      </c>
      <c r="C5" s="22"/>
      <c r="D5" s="22"/>
      <c r="E5" s="103"/>
    </row>
    <row r="6" spans="1:8" x14ac:dyDescent="0.2">
      <c r="A6" s="22">
        <v>4000</v>
      </c>
      <c r="B6" s="22">
        <v>20</v>
      </c>
      <c r="C6" s="22"/>
      <c r="D6" s="22"/>
      <c r="E6" s="103"/>
    </row>
    <row r="7" spans="1:8" x14ac:dyDescent="0.2">
      <c r="A7" s="22">
        <v>5000</v>
      </c>
      <c r="B7" s="22">
        <v>17</v>
      </c>
      <c r="C7" s="22"/>
      <c r="D7" s="22"/>
      <c r="E7" s="22"/>
    </row>
    <row r="8" spans="1:8" x14ac:dyDescent="0.2">
      <c r="A8" s="22"/>
      <c r="B8" s="22"/>
      <c r="C8" s="22"/>
      <c r="D8" s="22"/>
      <c r="E8" s="22"/>
    </row>
    <row r="12" spans="1:8" ht="38.25" x14ac:dyDescent="0.2">
      <c r="A12" s="69"/>
      <c r="B12" s="101" t="s">
        <v>64</v>
      </c>
      <c r="C12" s="101" t="s">
        <v>41</v>
      </c>
      <c r="D12" s="101" t="s">
        <v>63</v>
      </c>
      <c r="E12" s="101" t="s">
        <v>72</v>
      </c>
      <c r="F12" s="101" t="s">
        <v>74</v>
      </c>
      <c r="G12" s="101" t="s">
        <v>76</v>
      </c>
    </row>
    <row r="13" spans="1:8" x14ac:dyDescent="0.2">
      <c r="A13" s="104" t="s">
        <v>45</v>
      </c>
      <c r="B13" s="67">
        <f>'Numbered Windows'!F6</f>
        <v>0</v>
      </c>
      <c r="C13" s="2" t="e">
        <f>(B13/29018)^(-1/0.874)</f>
        <v>#DIV/0!</v>
      </c>
      <c r="D13" s="2">
        <f>B13*3.33+83.3</f>
        <v>83.3</v>
      </c>
      <c r="E13" s="106">
        <f>B13*0.1667+6.667</f>
        <v>6.6669999999999998</v>
      </c>
      <c r="F13" s="106">
        <f>B13*0.0667+1.667</f>
        <v>1.667</v>
      </c>
      <c r="G13" s="106">
        <f>B13*0.1+3</f>
        <v>3</v>
      </c>
    </row>
    <row r="14" spans="1:8" x14ac:dyDescent="0.2">
      <c r="A14" s="104"/>
      <c r="B14" s="105"/>
      <c r="C14" s="2"/>
      <c r="D14" s="2"/>
    </row>
    <row r="15" spans="1:8" x14ac:dyDescent="0.2">
      <c r="A15" s="71"/>
      <c r="B15" s="72"/>
      <c r="C15" s="28"/>
    </row>
    <row r="16" spans="1:8" x14ac:dyDescent="0.2">
      <c r="A16" s="104"/>
      <c r="B16" s="104"/>
    </row>
    <row r="17" spans="1:5" x14ac:dyDescent="0.2">
      <c r="A17" s="104"/>
      <c r="B17" s="104"/>
    </row>
    <row r="18" spans="1:5" ht="18" x14ac:dyDescent="0.25">
      <c r="D18" s="49"/>
    </row>
    <row r="20" spans="1:5" x14ac:dyDescent="0.2">
      <c r="E20" s="25"/>
    </row>
  </sheetData>
  <hyperlinks>
    <hyperlink ref="B13" location="Z01Summary!G6" display="Z01Summary!G6"/>
    <hyperlink ref="E1" location="Home!A5" display="Home"/>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G12" sqref="G12:G13"/>
    </sheetView>
  </sheetViews>
  <sheetFormatPr defaultColWidth="11.42578125" defaultRowHeight="12.75" x14ac:dyDescent="0.2"/>
  <cols>
    <col min="1" max="1" width="15" style="56" customWidth="1"/>
    <col min="2" max="2" width="15.42578125" style="56" customWidth="1"/>
    <col min="3" max="5" width="15" style="56" customWidth="1"/>
    <col min="6" max="16384" width="11.42578125" style="56"/>
  </cols>
  <sheetData>
    <row r="1" spans="1:8" ht="18" x14ac:dyDescent="0.25">
      <c r="A1" s="21" t="s">
        <v>69</v>
      </c>
      <c r="E1" s="49" t="s">
        <v>46</v>
      </c>
    </row>
    <row r="2" spans="1:8" ht="39.75" x14ac:dyDescent="0.2">
      <c r="A2" s="68" t="s">
        <v>41</v>
      </c>
      <c r="B2" s="68" t="s">
        <v>42</v>
      </c>
      <c r="C2" s="68"/>
      <c r="D2" s="68" t="s">
        <v>42</v>
      </c>
      <c r="E2" s="68" t="s">
        <v>43</v>
      </c>
      <c r="F2" s="68" t="s">
        <v>71</v>
      </c>
      <c r="G2" s="68" t="s">
        <v>73</v>
      </c>
      <c r="H2" s="68" t="s">
        <v>75</v>
      </c>
    </row>
    <row r="3" spans="1:8" x14ac:dyDescent="0.2">
      <c r="A3" s="68">
        <v>1000</v>
      </c>
      <c r="B3" s="68">
        <v>87.5</v>
      </c>
      <c r="C3" s="68"/>
      <c r="D3" s="68">
        <v>80</v>
      </c>
      <c r="E3" s="68">
        <v>250</v>
      </c>
      <c r="F3" s="68">
        <v>30</v>
      </c>
      <c r="G3" s="68">
        <v>5</v>
      </c>
      <c r="H3" s="68">
        <v>12</v>
      </c>
    </row>
    <row r="4" spans="1:8" ht="12.75" customHeight="1" x14ac:dyDescent="0.2">
      <c r="A4" s="22">
        <v>2000</v>
      </c>
      <c r="B4" s="22">
        <v>50</v>
      </c>
      <c r="C4" s="22"/>
      <c r="D4" s="22">
        <v>30</v>
      </c>
      <c r="E4" s="103">
        <v>150</v>
      </c>
      <c r="F4" s="22">
        <v>10</v>
      </c>
      <c r="G4" s="22">
        <v>3</v>
      </c>
      <c r="H4" s="22">
        <v>6</v>
      </c>
    </row>
    <row r="5" spans="1:8" ht="12.75" customHeight="1" x14ac:dyDescent="0.2">
      <c r="A5" s="22">
        <v>3000</v>
      </c>
      <c r="B5" s="22">
        <v>33.5</v>
      </c>
      <c r="C5" s="22"/>
      <c r="D5" s="22"/>
      <c r="E5" s="103"/>
    </row>
    <row r="6" spans="1:8" x14ac:dyDescent="0.2">
      <c r="A6" s="22">
        <v>4000</v>
      </c>
      <c r="B6" s="22">
        <v>25</v>
      </c>
      <c r="C6" s="22"/>
      <c r="D6" s="22"/>
      <c r="E6" s="103"/>
    </row>
    <row r="7" spans="1:8" x14ac:dyDescent="0.2">
      <c r="A7" s="22">
        <v>5000</v>
      </c>
      <c r="B7" s="22">
        <v>21</v>
      </c>
      <c r="C7" s="22"/>
      <c r="D7" s="22"/>
      <c r="E7" s="22"/>
    </row>
    <row r="8" spans="1:8" x14ac:dyDescent="0.2">
      <c r="A8" s="22"/>
      <c r="B8" s="22"/>
      <c r="C8" s="22"/>
      <c r="D8" s="22"/>
      <c r="E8" s="22"/>
    </row>
    <row r="12" spans="1:8" ht="38.25" x14ac:dyDescent="0.2">
      <c r="A12" s="69"/>
      <c r="B12" s="101" t="s">
        <v>64</v>
      </c>
      <c r="C12" s="101" t="s">
        <v>41</v>
      </c>
      <c r="D12" s="101" t="s">
        <v>63</v>
      </c>
      <c r="E12" s="101" t="s">
        <v>72</v>
      </c>
      <c r="F12" s="101" t="s">
        <v>74</v>
      </c>
      <c r="G12" s="101" t="s">
        <v>76</v>
      </c>
    </row>
    <row r="13" spans="1:8" x14ac:dyDescent="0.2">
      <c r="A13" s="104" t="s">
        <v>45</v>
      </c>
      <c r="B13" s="67">
        <f>'Numbered Windows'!F6</f>
        <v>0</v>
      </c>
      <c r="C13" s="2" t="e">
        <f>(B13/45080)^(-1/0.901)</f>
        <v>#DIV/0!</v>
      </c>
      <c r="D13" s="2">
        <f>B13*2+90</f>
        <v>90</v>
      </c>
      <c r="E13" s="106">
        <f>B13*0.4-2</f>
        <v>-2</v>
      </c>
      <c r="F13" s="106">
        <f>B13*0.04+1.8</f>
        <v>1.8</v>
      </c>
      <c r="G13" s="106">
        <f>B13*0.12+2.4</f>
        <v>2.4</v>
      </c>
    </row>
    <row r="14" spans="1:8" x14ac:dyDescent="0.2">
      <c r="A14" s="104"/>
      <c r="B14" s="105"/>
      <c r="C14" s="2"/>
      <c r="D14" s="2"/>
    </row>
    <row r="15" spans="1:8" x14ac:dyDescent="0.2">
      <c r="A15" s="71"/>
      <c r="B15" s="72"/>
      <c r="C15" s="28"/>
    </row>
    <row r="16" spans="1:8" x14ac:dyDescent="0.2">
      <c r="A16" s="104"/>
      <c r="B16" s="104"/>
    </row>
    <row r="17" spans="1:5" x14ac:dyDescent="0.2">
      <c r="A17" s="104"/>
      <c r="B17" s="104"/>
    </row>
    <row r="18" spans="1:5" ht="18" x14ac:dyDescent="0.25">
      <c r="D18" s="49"/>
    </row>
    <row r="20" spans="1:5" x14ac:dyDescent="0.2">
      <c r="E20" s="25"/>
    </row>
  </sheetData>
  <hyperlinks>
    <hyperlink ref="B13" location="Z01Summary!G6" display="Z01Summary!G6"/>
    <hyperlink ref="E1" location="Home!A5" display="Home"/>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G14" sqref="G14"/>
    </sheetView>
  </sheetViews>
  <sheetFormatPr defaultColWidth="11.42578125" defaultRowHeight="12.75" x14ac:dyDescent="0.2"/>
  <cols>
    <col min="1" max="1" width="15" style="56" customWidth="1"/>
    <col min="2" max="2" width="15.42578125" style="56" customWidth="1"/>
    <col min="3" max="5" width="15" style="56" customWidth="1"/>
    <col min="6" max="16384" width="11.42578125" style="56"/>
  </cols>
  <sheetData>
    <row r="1" spans="1:8" ht="18" x14ac:dyDescent="0.25">
      <c r="A1" s="21" t="s">
        <v>70</v>
      </c>
      <c r="E1" s="49" t="s">
        <v>46</v>
      </c>
    </row>
    <row r="2" spans="1:8" ht="39.75" x14ac:dyDescent="0.2">
      <c r="A2" s="68" t="s">
        <v>41</v>
      </c>
      <c r="B2" s="68" t="s">
        <v>42</v>
      </c>
      <c r="C2" s="68"/>
      <c r="D2" s="68" t="s">
        <v>42</v>
      </c>
      <c r="E2" s="68" t="s">
        <v>43</v>
      </c>
      <c r="F2" s="68" t="s">
        <v>71</v>
      </c>
      <c r="G2" s="68" t="s">
        <v>73</v>
      </c>
      <c r="H2" s="68" t="s">
        <v>75</v>
      </c>
    </row>
    <row r="3" spans="1:8" x14ac:dyDescent="0.2">
      <c r="A3" s="68">
        <v>1000</v>
      </c>
      <c r="B3" s="68">
        <v>115</v>
      </c>
      <c r="C3" s="68"/>
      <c r="D3" s="68">
        <v>100</v>
      </c>
      <c r="E3" s="68">
        <v>250</v>
      </c>
      <c r="F3" s="68">
        <v>45</v>
      </c>
      <c r="G3" s="68">
        <v>5</v>
      </c>
      <c r="H3" s="68">
        <v>15</v>
      </c>
    </row>
    <row r="4" spans="1:8" ht="12.75" customHeight="1" x14ac:dyDescent="0.2">
      <c r="A4" s="22">
        <v>2000</v>
      </c>
      <c r="B4" s="22">
        <v>67.5</v>
      </c>
      <c r="C4" s="22"/>
      <c r="D4" s="22">
        <v>40</v>
      </c>
      <c r="E4" s="103">
        <v>150</v>
      </c>
      <c r="F4" s="22">
        <v>15</v>
      </c>
      <c r="G4" s="22">
        <v>3</v>
      </c>
      <c r="H4" s="22">
        <v>7</v>
      </c>
    </row>
    <row r="5" spans="1:8" ht="12.75" customHeight="1" x14ac:dyDescent="0.2">
      <c r="A5" s="22">
        <v>3000</v>
      </c>
      <c r="B5" s="22">
        <v>47.5</v>
      </c>
      <c r="C5" s="22"/>
      <c r="D5" s="22"/>
      <c r="E5" s="103"/>
    </row>
    <row r="6" spans="1:8" x14ac:dyDescent="0.2">
      <c r="A6" s="22">
        <v>4000</v>
      </c>
      <c r="B6" s="22">
        <v>34</v>
      </c>
      <c r="C6" s="22"/>
      <c r="D6" s="22"/>
      <c r="E6" s="103"/>
    </row>
    <row r="7" spans="1:8" x14ac:dyDescent="0.2">
      <c r="A7" s="22">
        <v>5000</v>
      </c>
      <c r="B7" s="22">
        <v>29</v>
      </c>
      <c r="C7" s="22"/>
      <c r="D7" s="22"/>
      <c r="E7" s="22"/>
    </row>
    <row r="8" spans="1:8" x14ac:dyDescent="0.2">
      <c r="A8" s="22"/>
      <c r="B8" s="22"/>
      <c r="C8" s="22"/>
      <c r="D8" s="22"/>
      <c r="E8" s="22"/>
    </row>
    <row r="12" spans="1:8" ht="38.25" x14ac:dyDescent="0.2">
      <c r="A12" s="69"/>
      <c r="B12" s="101" t="s">
        <v>64</v>
      </c>
      <c r="C12" s="101" t="s">
        <v>41</v>
      </c>
      <c r="D12" s="101" t="s">
        <v>63</v>
      </c>
      <c r="E12" s="101" t="s">
        <v>72</v>
      </c>
      <c r="F12" s="101" t="s">
        <v>74</v>
      </c>
      <c r="G12" s="101" t="s">
        <v>76</v>
      </c>
    </row>
    <row r="13" spans="1:8" x14ac:dyDescent="0.2">
      <c r="A13" s="104" t="s">
        <v>45</v>
      </c>
      <c r="B13" s="67">
        <f>'Numbered Windows'!F6</f>
        <v>0</v>
      </c>
      <c r="C13" s="2" t="e">
        <f>(B13/48084)^(-1/0.869)</f>
        <v>#DIV/0!</v>
      </c>
      <c r="D13" s="2">
        <f>B13*1.667+83.3</f>
        <v>83.3</v>
      </c>
      <c r="E13" s="106">
        <f>B13*0.5-5</f>
        <v>-5</v>
      </c>
      <c r="F13" s="106">
        <f>B13*0.0333+1.667</f>
        <v>1.667</v>
      </c>
      <c r="G13" s="106">
        <f>B13*0.1333+1.667</f>
        <v>1.667</v>
      </c>
    </row>
    <row r="14" spans="1:8" x14ac:dyDescent="0.2">
      <c r="A14" s="104"/>
      <c r="B14" s="105"/>
      <c r="C14" s="2"/>
      <c r="D14" s="2"/>
    </row>
    <row r="15" spans="1:8" x14ac:dyDescent="0.2">
      <c r="A15" s="71"/>
      <c r="B15" s="72"/>
      <c r="C15" s="28"/>
    </row>
    <row r="16" spans="1:8" x14ac:dyDescent="0.2">
      <c r="A16" s="104"/>
      <c r="B16" s="104"/>
    </row>
    <row r="17" spans="1:5" x14ac:dyDescent="0.2">
      <c r="A17" s="104"/>
      <c r="B17" s="104"/>
    </row>
    <row r="18" spans="1:5" ht="18" x14ac:dyDescent="0.25">
      <c r="D18" s="49"/>
    </row>
    <row r="20" spans="1:5" x14ac:dyDescent="0.2">
      <c r="E20" s="25"/>
    </row>
  </sheetData>
  <hyperlinks>
    <hyperlink ref="B13" location="Z01Summary!G6" display="Z01Summary!G6"/>
    <hyperlink ref="E1" location="Home!A5" display="Home"/>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B11" sqref="B11"/>
    </sheetView>
  </sheetViews>
  <sheetFormatPr defaultColWidth="11.42578125" defaultRowHeight="12.75" x14ac:dyDescent="0.2"/>
  <cols>
    <col min="1" max="1" width="15" customWidth="1"/>
    <col min="2" max="2" width="15.42578125" customWidth="1"/>
    <col min="3" max="5" width="15" customWidth="1"/>
  </cols>
  <sheetData>
    <row r="1" spans="1:5" ht="18" x14ac:dyDescent="0.25">
      <c r="A1" s="21" t="s">
        <v>1</v>
      </c>
      <c r="E1" s="49" t="s">
        <v>46</v>
      </c>
    </row>
    <row r="2" spans="1:5" ht="39.75" x14ac:dyDescent="0.2">
      <c r="A2" s="68" t="s">
        <v>41</v>
      </c>
      <c r="B2" s="68" t="s">
        <v>42</v>
      </c>
      <c r="C2" s="68"/>
      <c r="D2" s="68" t="s">
        <v>42</v>
      </c>
      <c r="E2" s="68" t="s">
        <v>43</v>
      </c>
    </row>
    <row r="3" spans="1:5" ht="12.75" customHeight="1" x14ac:dyDescent="0.2">
      <c r="A3" s="22">
        <v>2000</v>
      </c>
      <c r="B3" s="22">
        <v>1.45</v>
      </c>
      <c r="C3" s="22"/>
      <c r="D3" s="22">
        <v>0.94</v>
      </c>
      <c r="E3" s="103">
        <v>29</v>
      </c>
    </row>
    <row r="4" spans="1:5" x14ac:dyDescent="0.2">
      <c r="A4" s="22">
        <v>4000</v>
      </c>
      <c r="B4" s="22">
        <v>0.94</v>
      </c>
      <c r="C4" s="22"/>
      <c r="D4" s="22">
        <v>1.45</v>
      </c>
      <c r="E4" s="103">
        <v>39</v>
      </c>
    </row>
    <row r="5" spans="1:5" x14ac:dyDescent="0.2">
      <c r="A5" s="22"/>
      <c r="B5" s="22"/>
      <c r="C5" s="22"/>
      <c r="D5" s="22"/>
      <c r="E5" s="22"/>
    </row>
    <row r="6" spans="1:5" x14ac:dyDescent="0.2">
      <c r="A6" s="22"/>
      <c r="B6" s="22"/>
      <c r="C6" s="22"/>
      <c r="D6" s="22"/>
      <c r="E6" s="22"/>
    </row>
    <row r="10" spans="1:5" ht="38.25" x14ac:dyDescent="0.2">
      <c r="A10" s="69"/>
      <c r="B10" s="101" t="s">
        <v>64</v>
      </c>
      <c r="C10" s="101" t="s">
        <v>41</v>
      </c>
      <c r="D10" s="101" t="s">
        <v>63</v>
      </c>
    </row>
    <row r="11" spans="1:5" x14ac:dyDescent="0.2">
      <c r="A11" s="55" t="s">
        <v>44</v>
      </c>
      <c r="B11" s="67" t="str">
        <f>'V-shape Implants'!F8</f>
        <v>https://www.sigmaaldrich.com/CH/en/product/aldrich/448931</v>
      </c>
      <c r="C11" s="2" t="e">
        <f>(B11/156.84)^(-1/0.617)</f>
        <v>#VALUE!</v>
      </c>
      <c r="D11" s="2" t="e">
        <f>2*(B11*19.85+10.58)</f>
        <v>#VALUE!</v>
      </c>
    </row>
    <row r="12" spans="1:5" x14ac:dyDescent="0.2">
      <c r="A12" s="55" t="s">
        <v>45</v>
      </c>
      <c r="B12" s="67" t="str">
        <f>'V-shape Implants'!F8</f>
        <v>https://www.sigmaaldrich.com/CH/en/product/aldrich/448931</v>
      </c>
      <c r="C12" s="2" t="e">
        <f>(B12/156.84)^(-1/0.617)</f>
        <v>#VALUE!</v>
      </c>
      <c r="D12" s="2" t="e">
        <f>B12*19.85+10.58</f>
        <v>#VALUE!</v>
      </c>
    </row>
    <row r="13" spans="1:5" x14ac:dyDescent="0.2">
      <c r="A13" s="71"/>
      <c r="B13" s="72"/>
      <c r="C13" s="28"/>
    </row>
    <row r="14" spans="1:5" x14ac:dyDescent="0.2">
      <c r="A14" s="55"/>
      <c r="B14" s="55"/>
    </row>
    <row r="15" spans="1:5" x14ac:dyDescent="0.2">
      <c r="A15" s="55"/>
      <c r="B15" s="55"/>
    </row>
    <row r="16" spans="1:5" ht="18" x14ac:dyDescent="0.25">
      <c r="D16" s="49"/>
    </row>
    <row r="18" spans="5:5" x14ac:dyDescent="0.2">
      <c r="E18" s="25"/>
    </row>
  </sheetData>
  <hyperlinks>
    <hyperlink ref="B11" location="Z01Summary!G6" display="Z01Summary!G6"/>
    <hyperlink ref="B12" location="Z13Summary!G6" display="Z13Summary!G6"/>
    <hyperlink ref="E1" location="Home!A5" display="Home"/>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zoomScaleNormal="100" workbookViewId="0">
      <selection activeCell="B12" sqref="B12"/>
    </sheetView>
  </sheetViews>
  <sheetFormatPr defaultColWidth="11.42578125" defaultRowHeight="12.75" x14ac:dyDescent="0.2"/>
  <cols>
    <col min="1" max="1" width="15" customWidth="1"/>
    <col min="2" max="2" width="15.42578125" customWidth="1"/>
    <col min="3" max="5" width="15" customWidth="1"/>
  </cols>
  <sheetData>
    <row r="1" spans="1:5" ht="18" x14ac:dyDescent="0.25">
      <c r="A1" s="21" t="s">
        <v>2</v>
      </c>
      <c r="E1" s="49" t="s">
        <v>46</v>
      </c>
    </row>
    <row r="2" spans="1:5" ht="39.75" x14ac:dyDescent="0.2">
      <c r="A2" s="68" t="s">
        <v>41</v>
      </c>
      <c r="B2" s="68" t="s">
        <v>42</v>
      </c>
      <c r="C2" s="68"/>
      <c r="D2" s="68" t="s">
        <v>42</v>
      </c>
      <c r="E2" s="68" t="s">
        <v>43</v>
      </c>
    </row>
    <row r="3" spans="1:5" ht="12.75" customHeight="1" x14ac:dyDescent="0.2">
      <c r="A3" s="22">
        <v>2000</v>
      </c>
      <c r="B3" s="22">
        <v>3.72</v>
      </c>
      <c r="C3" s="22"/>
      <c r="D3" s="22">
        <v>2.2999999999999998</v>
      </c>
      <c r="E3" s="103">
        <v>45</v>
      </c>
    </row>
    <row r="4" spans="1:5" x14ac:dyDescent="0.2">
      <c r="A4" s="22">
        <v>4000</v>
      </c>
      <c r="B4" s="22">
        <v>2.2999999999999998</v>
      </c>
      <c r="C4" s="22"/>
      <c r="D4" s="22">
        <v>3.72</v>
      </c>
      <c r="E4" s="103">
        <v>55</v>
      </c>
    </row>
    <row r="5" spans="1:5" x14ac:dyDescent="0.2">
      <c r="A5" s="22"/>
      <c r="B5" s="22"/>
      <c r="C5" s="22"/>
      <c r="D5" s="1"/>
      <c r="E5" s="1"/>
    </row>
    <row r="6" spans="1:5" x14ac:dyDescent="0.2">
      <c r="A6" s="22"/>
      <c r="B6" s="22"/>
      <c r="C6" s="22"/>
      <c r="D6" s="1"/>
      <c r="E6" s="1"/>
    </row>
    <row r="7" spans="1:5" s="56" customFormat="1" x14ac:dyDescent="0.2">
      <c r="A7" s="22"/>
      <c r="B7" s="22"/>
      <c r="C7" s="22"/>
      <c r="D7" s="1"/>
      <c r="E7" s="1"/>
    </row>
    <row r="8" spans="1:5" s="56" customFormat="1" x14ac:dyDescent="0.2">
      <c r="A8" s="22"/>
      <c r="B8" s="22"/>
      <c r="C8" s="22"/>
      <c r="D8" s="1"/>
      <c r="E8" s="1"/>
    </row>
    <row r="10" spans="1:5" ht="38.25" x14ac:dyDescent="0.2">
      <c r="A10" s="1"/>
      <c r="B10" s="101" t="s">
        <v>64</v>
      </c>
      <c r="C10" s="101" t="s">
        <v>41</v>
      </c>
      <c r="D10" s="101" t="s">
        <v>63</v>
      </c>
    </row>
    <row r="11" spans="1:5" x14ac:dyDescent="0.2">
      <c r="A11" s="44" t="s">
        <v>44</v>
      </c>
      <c r="B11" s="50" t="str">
        <f>'V-shape Implants'!F8</f>
        <v>https://www.sigmaaldrich.com/CH/en/product/aldrich/448931</v>
      </c>
      <c r="C11" s="2" t="e">
        <f>(B11/725.6)^(-1/0.6937)</f>
        <v>#VALUE!</v>
      </c>
      <c r="D11" s="2" t="e">
        <f>2*(B11*7.04+28.8)</f>
        <v>#VALUE!</v>
      </c>
    </row>
    <row r="12" spans="1:5" x14ac:dyDescent="0.2">
      <c r="A12" s="44" t="s">
        <v>45</v>
      </c>
      <c r="B12" s="51" t="str">
        <f>'V-shape Implants'!F8</f>
        <v>https://www.sigmaaldrich.com/CH/en/product/aldrich/448931</v>
      </c>
      <c r="C12" s="2" t="e">
        <f>(B12/725.6)^(-1/0.6937)</f>
        <v>#VALUE!</v>
      </c>
      <c r="D12" s="2" t="e">
        <f>B12*7.04+28.8</f>
        <v>#VALUE!</v>
      </c>
    </row>
    <row r="20" spans="2:5" ht="18" x14ac:dyDescent="0.25">
      <c r="B20" s="49"/>
    </row>
    <row r="21" spans="2:5" x14ac:dyDescent="0.2">
      <c r="E21" s="25"/>
    </row>
  </sheetData>
  <hyperlinks>
    <hyperlink ref="E1" location="Home!A5" display="Home"/>
  </hyperlink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D11" sqref="D11"/>
    </sheetView>
  </sheetViews>
  <sheetFormatPr defaultColWidth="11.42578125" defaultRowHeight="12.75" x14ac:dyDescent="0.2"/>
  <cols>
    <col min="1" max="5" width="15.42578125" customWidth="1"/>
  </cols>
  <sheetData>
    <row r="1" spans="1:6" ht="18" x14ac:dyDescent="0.25">
      <c r="A1" s="21" t="s">
        <v>3</v>
      </c>
      <c r="E1" s="49" t="s">
        <v>46</v>
      </c>
    </row>
    <row r="2" spans="1:6" ht="39.75" x14ac:dyDescent="0.2">
      <c r="A2" s="68" t="s">
        <v>41</v>
      </c>
      <c r="B2" s="68" t="s">
        <v>42</v>
      </c>
      <c r="C2" s="68"/>
      <c r="D2" s="68" t="s">
        <v>42</v>
      </c>
      <c r="E2" s="68" t="s">
        <v>43</v>
      </c>
      <c r="F2" s="23"/>
    </row>
    <row r="3" spans="1:6" ht="12.75" customHeight="1" x14ac:dyDescent="0.2">
      <c r="A3" s="1">
        <v>2000</v>
      </c>
      <c r="B3" s="1">
        <v>10.8</v>
      </c>
      <c r="C3" s="1"/>
      <c r="D3" s="1">
        <v>5.75</v>
      </c>
      <c r="E3" s="2">
        <f>159*0.4*1.15</f>
        <v>73.14</v>
      </c>
    </row>
    <row r="4" spans="1:6" x14ac:dyDescent="0.2">
      <c r="A4" s="1">
        <v>4000</v>
      </c>
      <c r="B4" s="1">
        <v>5.75</v>
      </c>
      <c r="C4" s="1"/>
      <c r="D4" s="1">
        <v>10.8</v>
      </c>
      <c r="E4" s="2">
        <f>195*0.4*1.15</f>
        <v>89.699999999999989</v>
      </c>
    </row>
    <row r="5" spans="1:6" x14ac:dyDescent="0.2">
      <c r="A5" s="1"/>
      <c r="B5" s="1"/>
      <c r="C5" s="1"/>
      <c r="D5" s="1"/>
      <c r="E5" s="1"/>
    </row>
    <row r="6" spans="1:6" x14ac:dyDescent="0.2">
      <c r="A6" s="1"/>
      <c r="B6" s="1"/>
      <c r="C6" s="1"/>
      <c r="D6" s="1"/>
      <c r="E6" s="1"/>
    </row>
    <row r="7" spans="1:6" x14ac:dyDescent="0.2">
      <c r="A7" s="1"/>
      <c r="B7" s="1"/>
      <c r="C7" s="1"/>
      <c r="D7" s="1"/>
      <c r="E7" s="1"/>
    </row>
    <row r="10" spans="1:6" ht="38.25" x14ac:dyDescent="0.2">
      <c r="A10" s="1"/>
      <c r="B10" s="101" t="s">
        <v>64</v>
      </c>
      <c r="C10" s="101" t="s">
        <v>41</v>
      </c>
      <c r="D10" s="101" t="s">
        <v>63</v>
      </c>
      <c r="E10" s="68"/>
    </row>
    <row r="11" spans="1:6" x14ac:dyDescent="0.2">
      <c r="A11" s="52" t="s">
        <v>44</v>
      </c>
      <c r="B11" s="50" t="str">
        <f>'V-shape Implants'!F8</f>
        <v>https://www.sigmaaldrich.com/CH/en/product/aldrich/448931</v>
      </c>
      <c r="C11" s="2" t="e">
        <f>(B11/11545)^(-1/0.9169)</f>
        <v>#VALUE!</v>
      </c>
      <c r="D11" s="2" t="e">
        <f>2*(B11*3.366+53.647)</f>
        <v>#VALUE!</v>
      </c>
    </row>
    <row r="12" spans="1:6" x14ac:dyDescent="0.2">
      <c r="A12" s="52" t="s">
        <v>45</v>
      </c>
      <c r="B12" s="51" t="str">
        <f>'V-shape Implants'!F8</f>
        <v>https://www.sigmaaldrich.com/CH/en/product/aldrich/448931</v>
      </c>
      <c r="C12" s="2" t="e">
        <f>(B12/11545)^(-1/0.9169)</f>
        <v>#VALUE!</v>
      </c>
      <c r="D12" s="2" t="e">
        <f>B12*3.366+53.647</f>
        <v>#VALUE!</v>
      </c>
    </row>
    <row r="14" spans="1:6" ht="18" x14ac:dyDescent="0.25">
      <c r="D14" s="49"/>
      <c r="E14" s="25"/>
    </row>
  </sheetData>
  <hyperlinks>
    <hyperlink ref="E1" location="Home!A5" display="Home"/>
  </hyperlinks>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B13" sqref="B13"/>
    </sheetView>
  </sheetViews>
  <sheetFormatPr defaultColWidth="11.42578125" defaultRowHeight="12.75" x14ac:dyDescent="0.2"/>
  <cols>
    <col min="1" max="1" width="15.28515625" customWidth="1"/>
    <col min="2" max="2" width="15.85546875" customWidth="1"/>
    <col min="3" max="5" width="15.28515625" customWidth="1"/>
  </cols>
  <sheetData>
    <row r="1" spans="1:6" ht="18" x14ac:dyDescent="0.25">
      <c r="A1" s="21" t="s">
        <v>4</v>
      </c>
      <c r="E1" s="49" t="s">
        <v>46</v>
      </c>
    </row>
    <row r="2" spans="1:6" ht="39.75" x14ac:dyDescent="0.2">
      <c r="A2" s="68" t="s">
        <v>41</v>
      </c>
      <c r="B2" s="68" t="s">
        <v>42</v>
      </c>
      <c r="C2" s="68"/>
      <c r="D2" s="68" t="s">
        <v>42</v>
      </c>
      <c r="E2" s="68" t="s">
        <v>43</v>
      </c>
      <c r="F2" s="1"/>
    </row>
    <row r="3" spans="1:6" ht="12.75" customHeight="1" x14ac:dyDescent="0.2">
      <c r="A3" s="1">
        <v>2000</v>
      </c>
      <c r="B3" s="1">
        <v>38.5</v>
      </c>
      <c r="C3" s="1"/>
      <c r="D3" s="1">
        <v>18.399999999999999</v>
      </c>
      <c r="E3" s="2">
        <f>265*0.4*1.15</f>
        <v>121.89999999999999</v>
      </c>
      <c r="F3" s="1"/>
    </row>
    <row r="4" spans="1:6" x14ac:dyDescent="0.2">
      <c r="A4" s="1">
        <v>4000</v>
      </c>
      <c r="B4" s="1">
        <v>18.399999999999999</v>
      </c>
      <c r="C4" s="1"/>
      <c r="D4" s="1">
        <v>38.5</v>
      </c>
      <c r="E4" s="2">
        <f>354*0.4*1.15</f>
        <v>162.83999999999997</v>
      </c>
      <c r="F4" s="1"/>
    </row>
    <row r="5" spans="1:6" x14ac:dyDescent="0.2">
      <c r="A5" s="1"/>
      <c r="B5" s="1"/>
      <c r="C5" s="1"/>
      <c r="D5" s="1"/>
      <c r="E5" s="1"/>
      <c r="F5" s="1"/>
    </row>
    <row r="6" spans="1:6" x14ac:dyDescent="0.2">
      <c r="A6" s="1"/>
      <c r="B6" s="1"/>
      <c r="C6" s="1"/>
      <c r="D6" s="1"/>
      <c r="E6" s="1"/>
      <c r="F6" s="1"/>
    </row>
    <row r="7" spans="1:6" x14ac:dyDescent="0.2">
      <c r="A7" s="1"/>
      <c r="B7" s="1"/>
      <c r="C7" s="1"/>
      <c r="D7" s="1"/>
      <c r="E7" s="1"/>
      <c r="F7" s="1"/>
    </row>
    <row r="10" spans="1:6" ht="27" x14ac:dyDescent="0.2">
      <c r="A10" s="1"/>
      <c r="B10" s="101" t="s">
        <v>64</v>
      </c>
      <c r="C10" s="101" t="s">
        <v>41</v>
      </c>
      <c r="D10" s="101" t="s">
        <v>63</v>
      </c>
    </row>
    <row r="11" spans="1:6" x14ac:dyDescent="0.2">
      <c r="A11" s="52" t="s">
        <v>44</v>
      </c>
      <c r="B11" s="50" t="str">
        <f>'V-shape Implants'!F8</f>
        <v>https://www.sigmaaldrich.com/CH/en/product/aldrich/448931</v>
      </c>
      <c r="C11" s="2" t="e">
        <f>(B11/135376)^(-1/1.074)</f>
        <v>#VALUE!</v>
      </c>
      <c r="D11" s="2" t="e">
        <f>2*(B11*2.017+85.159)</f>
        <v>#VALUE!</v>
      </c>
      <c r="E11" s="1"/>
    </row>
    <row r="12" spans="1:6" x14ac:dyDescent="0.2">
      <c r="A12" s="52" t="s">
        <v>45</v>
      </c>
      <c r="B12" s="51" t="str">
        <f>'V-shape Implants'!F8</f>
        <v>https://www.sigmaaldrich.com/CH/en/product/aldrich/448931</v>
      </c>
      <c r="C12" s="2" t="e">
        <f>(B12/135376)^(-1/1.074)</f>
        <v>#VALUE!</v>
      </c>
      <c r="D12" s="2" t="e">
        <f>B12*2.017+85.159</f>
        <v>#VALUE!</v>
      </c>
    </row>
    <row r="15" spans="1:6" ht="18" x14ac:dyDescent="0.25">
      <c r="D15" s="49"/>
    </row>
    <row r="17" spans="5:5" x14ac:dyDescent="0.2">
      <c r="E17" s="25"/>
    </row>
  </sheetData>
  <hyperlinks>
    <hyperlink ref="E1" location="Home!A5" display="Home"/>
  </hyperlinks>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6"/>
  <sheetViews>
    <sheetView zoomScaleNormal="100" workbookViewId="0">
      <selection activeCell="A3" sqref="A3:C10"/>
    </sheetView>
  </sheetViews>
  <sheetFormatPr defaultColWidth="11.5703125" defaultRowHeight="12.75" x14ac:dyDescent="0.2"/>
  <cols>
    <col min="1" max="3" width="11.5703125" style="56"/>
    <col min="4" max="4" width="5.7109375" style="1" customWidth="1"/>
    <col min="5" max="5" width="22.85546875" style="56" customWidth="1"/>
    <col min="6" max="6" width="12.85546875" style="56" customWidth="1"/>
    <col min="7" max="7" width="12.85546875" style="1" customWidth="1"/>
    <col min="8" max="8" width="4.28515625" style="1" customWidth="1"/>
    <col min="9" max="9" width="11.5703125" style="56" customWidth="1"/>
    <col min="10" max="16384" width="11.5703125" style="56"/>
  </cols>
  <sheetData>
    <row r="2" spans="1:11" ht="18.75" customHeight="1" thickBot="1" x14ac:dyDescent="0.3">
      <c r="B2" s="3" t="s">
        <v>78</v>
      </c>
      <c r="F2" s="3"/>
      <c r="I2" s="49" t="s">
        <v>46</v>
      </c>
    </row>
    <row r="3" spans="1:11" ht="12.75" customHeight="1" x14ac:dyDescent="0.25">
      <c r="A3" s="225" t="s">
        <v>128</v>
      </c>
      <c r="B3" s="226"/>
      <c r="C3" s="227"/>
      <c r="E3" s="26" t="s">
        <v>97</v>
      </c>
      <c r="F3" s="3"/>
      <c r="G3" s="49"/>
    </row>
    <row r="4" spans="1:11" x14ac:dyDescent="0.2">
      <c r="A4" s="228"/>
      <c r="B4" s="229"/>
      <c r="C4" s="230"/>
      <c r="E4" s="1"/>
      <c r="G4" s="110"/>
    </row>
    <row r="5" spans="1:11" x14ac:dyDescent="0.2">
      <c r="A5" s="228"/>
      <c r="B5" s="229"/>
      <c r="C5" s="230"/>
      <c r="E5" s="21" t="s">
        <v>47</v>
      </c>
      <c r="G5" s="110"/>
      <c r="H5" s="119" t="s">
        <v>98</v>
      </c>
      <c r="I5" s="119"/>
      <c r="J5" s="119"/>
      <c r="K5" s="119"/>
    </row>
    <row r="6" spans="1:11" x14ac:dyDescent="0.2">
      <c r="A6" s="228"/>
      <c r="B6" s="229"/>
      <c r="C6" s="230"/>
      <c r="E6" s="118" t="s">
        <v>104</v>
      </c>
      <c r="F6" s="80">
        <v>50</v>
      </c>
      <c r="G6" s="111"/>
      <c r="H6" s="119"/>
      <c r="I6" s="120"/>
      <c r="J6" s="119"/>
      <c r="K6" s="119"/>
    </row>
    <row r="7" spans="1:11" x14ac:dyDescent="0.2">
      <c r="A7" s="228"/>
      <c r="B7" s="229"/>
      <c r="C7" s="230"/>
      <c r="E7" s="53"/>
      <c r="F7" s="81"/>
      <c r="H7" s="33"/>
      <c r="J7" s="121"/>
      <c r="K7" s="121"/>
    </row>
    <row r="8" spans="1:11" ht="12.75" customHeight="1" x14ac:dyDescent="0.2">
      <c r="A8" s="228"/>
      <c r="B8" s="229"/>
      <c r="C8" s="230"/>
      <c r="E8" s="126" t="s">
        <v>49</v>
      </c>
      <c r="F8" s="126"/>
    </row>
    <row r="9" spans="1:11" ht="12.75" customHeight="1" x14ac:dyDescent="0.2">
      <c r="A9" s="228"/>
      <c r="B9" s="229"/>
      <c r="C9" s="230"/>
      <c r="E9" s="126"/>
      <c r="F9" s="126"/>
    </row>
    <row r="10" spans="1:11" ht="13.5" thickBot="1" x14ac:dyDescent="0.25">
      <c r="A10" s="231"/>
      <c r="B10" s="232"/>
      <c r="C10" s="233"/>
      <c r="E10" s="21" t="s">
        <v>50</v>
      </c>
      <c r="F10" s="126"/>
    </row>
    <row r="12" spans="1:11" ht="15" customHeight="1" x14ac:dyDescent="0.2">
      <c r="A12" s="253" t="s">
        <v>0</v>
      </c>
      <c r="B12" s="253"/>
      <c r="C12" s="253"/>
    </row>
    <row r="13" spans="1:11" ht="15" customHeight="1" x14ac:dyDescent="0.2">
      <c r="A13" s="253"/>
      <c r="B13" s="253"/>
      <c r="C13" s="253"/>
    </row>
    <row r="14" spans="1:11" ht="15" customHeight="1" x14ac:dyDescent="0.2">
      <c r="A14" s="253"/>
      <c r="B14" s="253"/>
      <c r="C14" s="253"/>
      <c r="F14" s="254" t="s">
        <v>79</v>
      </c>
      <c r="G14" s="254" t="s">
        <v>80</v>
      </c>
    </row>
    <row r="15" spans="1:11" ht="15" customHeight="1" x14ac:dyDescent="0.2">
      <c r="F15" s="254"/>
      <c r="G15" s="254"/>
    </row>
    <row r="16" spans="1:11" ht="15" customHeight="1" thickBot="1" x14ac:dyDescent="0.25">
      <c r="A16" s="253" t="s">
        <v>6</v>
      </c>
      <c r="B16" s="253"/>
      <c r="C16" s="253"/>
      <c r="F16" s="1"/>
    </row>
    <row r="17" spans="1:16" ht="15" customHeight="1" x14ac:dyDescent="0.2">
      <c r="A17" s="253"/>
      <c r="B17" s="253"/>
      <c r="C17" s="253"/>
      <c r="E17" s="87" t="s">
        <v>48</v>
      </c>
      <c r="F17" s="78"/>
      <c r="G17" s="79"/>
      <c r="H17" s="128"/>
      <c r="I17" s="260" t="s">
        <v>7</v>
      </c>
      <c r="J17" s="260"/>
      <c r="K17" s="260"/>
      <c r="L17" s="260"/>
      <c r="M17" s="122"/>
      <c r="N17" s="122"/>
    </row>
    <row r="18" spans="1:16" ht="15" customHeight="1" thickBot="1" x14ac:dyDescent="0.25">
      <c r="A18" s="253"/>
      <c r="B18" s="253"/>
      <c r="C18" s="253"/>
      <c r="D18" s="61"/>
      <c r="E18" s="73" t="s">
        <v>8</v>
      </c>
      <c r="F18" s="31" t="str">
        <f>IF(AND('Results mr-DWL-5'!C13&gt;800,'Results mr-DWL-5'!C13&lt;5990),'Results mr-DWL-5'!C13,"NA")</f>
        <v>NA</v>
      </c>
      <c r="G18" s="32">
        <f>IF(AND('Results mr-DWL-40'!C13&gt;800,'Results mr-DWL-40'!C13&lt;4990),'Results mr-DWL-40'!C13,"NA")</f>
        <v>1590.6684572694592</v>
      </c>
      <c r="H18" s="130"/>
      <c r="I18" s="261"/>
      <c r="J18" s="261"/>
      <c r="K18" s="261"/>
      <c r="L18" s="261"/>
      <c r="M18" s="122"/>
      <c r="N18" s="122"/>
    </row>
    <row r="19" spans="1:16" ht="15" customHeight="1" thickTop="1" x14ac:dyDescent="0.2">
      <c r="E19" s="58"/>
      <c r="F19" s="59"/>
      <c r="G19" s="60"/>
      <c r="H19" s="131"/>
      <c r="I19" s="122"/>
      <c r="J19" s="122"/>
      <c r="K19" s="122"/>
      <c r="L19" s="122"/>
      <c r="M19" s="122"/>
      <c r="N19" s="122"/>
    </row>
    <row r="20" spans="1:16" ht="15" customHeight="1" x14ac:dyDescent="0.2">
      <c r="E20" s="27"/>
      <c r="F20" s="29"/>
      <c r="G20" s="30"/>
      <c r="H20" s="128"/>
      <c r="I20" s="264" t="s">
        <v>123</v>
      </c>
      <c r="J20" s="264"/>
      <c r="K20" s="264"/>
      <c r="L20" s="264"/>
      <c r="M20" s="122"/>
      <c r="N20" s="122"/>
    </row>
    <row r="21" spans="1:16" ht="15" customHeight="1" x14ac:dyDescent="0.2">
      <c r="A21" s="253" t="s">
        <v>120</v>
      </c>
      <c r="B21" s="253"/>
      <c r="C21" s="253"/>
      <c r="E21" s="27"/>
      <c r="F21" s="29"/>
      <c r="G21" s="30"/>
      <c r="H21" s="128"/>
      <c r="I21" s="264"/>
      <c r="J21" s="264"/>
      <c r="K21" s="264"/>
      <c r="L21" s="264"/>
      <c r="M21" s="122"/>
      <c r="N21" s="122"/>
    </row>
    <row r="22" spans="1:16" ht="15" customHeight="1" x14ac:dyDescent="0.2">
      <c r="A22" s="253"/>
      <c r="B22" s="253"/>
      <c r="C22" s="253"/>
      <c r="E22" s="88" t="s">
        <v>121</v>
      </c>
      <c r="F22" s="29"/>
      <c r="G22" s="30"/>
      <c r="H22" s="128"/>
      <c r="I22" s="264"/>
      <c r="J22" s="264"/>
      <c r="K22" s="264"/>
      <c r="L22" s="264"/>
      <c r="M22" s="122"/>
      <c r="N22" s="122"/>
    </row>
    <row r="23" spans="1:16" ht="15" customHeight="1" thickBot="1" x14ac:dyDescent="0.25">
      <c r="A23" s="253"/>
      <c r="B23" s="253"/>
      <c r="C23" s="253"/>
      <c r="D23" s="61"/>
      <c r="E23" s="73" t="s">
        <v>122</v>
      </c>
      <c r="F23" s="134">
        <v>60</v>
      </c>
      <c r="G23" s="135">
        <v>60</v>
      </c>
      <c r="H23" s="132"/>
      <c r="I23" s="265"/>
      <c r="J23" s="265"/>
      <c r="K23" s="265"/>
      <c r="L23" s="265"/>
      <c r="M23" s="122"/>
      <c r="N23" s="122"/>
    </row>
    <row r="24" spans="1:16" ht="15" customHeight="1" thickTop="1" x14ac:dyDescent="0.2">
      <c r="A24" s="86"/>
      <c r="D24" s="29"/>
      <c r="E24" s="27"/>
      <c r="F24" s="29"/>
      <c r="G24" s="30"/>
      <c r="H24" s="128"/>
    </row>
    <row r="25" spans="1:16" ht="15" customHeight="1" x14ac:dyDescent="0.2">
      <c r="A25" s="255" t="s">
        <v>9</v>
      </c>
      <c r="B25" s="256"/>
      <c r="C25" s="257"/>
      <c r="E25" s="88" t="s">
        <v>99</v>
      </c>
      <c r="F25" s="29"/>
      <c r="G25" s="30"/>
      <c r="H25" s="130"/>
      <c r="I25" s="262" t="s">
        <v>124</v>
      </c>
      <c r="J25" s="262"/>
      <c r="K25" s="262"/>
      <c r="L25" s="262"/>
    </row>
    <row r="26" spans="1:16" ht="15" customHeight="1" x14ac:dyDescent="0.2">
      <c r="A26" s="237"/>
      <c r="B26" s="238"/>
      <c r="C26" s="239"/>
      <c r="E26" s="75" t="s">
        <v>82</v>
      </c>
      <c r="F26" s="33">
        <v>2</v>
      </c>
      <c r="G26" s="34">
        <v>5</v>
      </c>
      <c r="H26" s="130"/>
      <c r="I26" s="262"/>
      <c r="J26" s="262"/>
      <c r="K26" s="262"/>
      <c r="L26" s="262"/>
    </row>
    <row r="27" spans="1:16" ht="15" customHeight="1" thickBot="1" x14ac:dyDescent="0.25">
      <c r="A27" s="240"/>
      <c r="B27" s="241"/>
      <c r="C27" s="242"/>
      <c r="D27" s="61"/>
      <c r="E27" s="76" t="s">
        <v>87</v>
      </c>
      <c r="F27" s="36">
        <v>4</v>
      </c>
      <c r="G27" s="39">
        <f>IF(AND('Results mr-DWL-40'!C13&gt;800,'Results mr-DWL-40'!C13&lt;4990),'Results mr-DWL-40'!E13,"NA")</f>
        <v>6.875</v>
      </c>
      <c r="H27" s="132"/>
      <c r="I27" s="263"/>
      <c r="J27" s="263"/>
      <c r="K27" s="263"/>
      <c r="L27" s="263"/>
    </row>
    <row r="28" spans="1:16" ht="15" customHeight="1" thickTop="1" x14ac:dyDescent="0.2">
      <c r="A28" s="86"/>
      <c r="B28" s="86"/>
      <c r="C28" s="86"/>
      <c r="D28" s="29"/>
      <c r="E28" s="27"/>
      <c r="F28" s="29"/>
      <c r="G28" s="30"/>
      <c r="H28" s="128"/>
      <c r="I28" s="117"/>
      <c r="J28" s="122"/>
      <c r="K28" s="122"/>
      <c r="L28" s="122"/>
    </row>
    <row r="29" spans="1:16" ht="15" customHeight="1" x14ac:dyDescent="0.2">
      <c r="A29" s="86"/>
      <c r="B29" s="86"/>
      <c r="C29" s="86"/>
      <c r="D29" s="29"/>
      <c r="E29" s="27"/>
      <c r="F29" s="29"/>
      <c r="G29" s="30"/>
      <c r="H29" s="128"/>
      <c r="I29" s="258" t="s">
        <v>56</v>
      </c>
      <c r="J29" s="258"/>
      <c r="K29" s="258"/>
      <c r="L29" s="258"/>
      <c r="M29" s="116"/>
      <c r="N29" s="122"/>
    </row>
    <row r="30" spans="1:16" ht="15" customHeight="1" x14ac:dyDescent="0.2">
      <c r="E30" s="27"/>
      <c r="G30" s="30"/>
      <c r="H30" s="128"/>
      <c r="I30" s="258"/>
      <c r="J30" s="258"/>
      <c r="K30" s="258"/>
      <c r="L30" s="258"/>
      <c r="M30" s="116"/>
      <c r="N30" s="122"/>
    </row>
    <row r="31" spans="1:16" ht="15" customHeight="1" x14ac:dyDescent="0.2">
      <c r="A31" s="234" t="s">
        <v>11</v>
      </c>
      <c r="B31" s="235"/>
      <c r="C31" s="236"/>
      <c r="E31" s="88" t="s">
        <v>10</v>
      </c>
      <c r="F31" s="89"/>
      <c r="G31" s="90"/>
      <c r="H31" s="128"/>
      <c r="I31" s="258"/>
      <c r="J31" s="258"/>
      <c r="K31" s="258"/>
      <c r="L31" s="258"/>
      <c r="M31" s="116"/>
      <c r="N31" s="122"/>
      <c r="O31" s="122"/>
      <c r="P31" s="122"/>
    </row>
    <row r="32" spans="1:16" ht="15" customHeight="1" x14ac:dyDescent="0.2">
      <c r="A32" s="237"/>
      <c r="B32" s="238"/>
      <c r="C32" s="239"/>
      <c r="E32" s="77"/>
      <c r="F32" s="83"/>
      <c r="G32" s="37"/>
      <c r="H32" s="128"/>
      <c r="I32" s="258"/>
      <c r="J32" s="258"/>
      <c r="K32" s="258"/>
      <c r="L32" s="258"/>
      <c r="M32" s="116"/>
      <c r="N32" s="122"/>
      <c r="O32" s="122"/>
      <c r="P32" s="122"/>
    </row>
    <row r="33" spans="1:16" ht="15" customHeight="1" thickBot="1" x14ac:dyDescent="0.25">
      <c r="A33" s="240"/>
      <c r="B33" s="241"/>
      <c r="C33" s="242"/>
      <c r="D33" s="61"/>
      <c r="E33" s="74" t="s">
        <v>12</v>
      </c>
      <c r="F33" s="84" t="str">
        <f>IF(AND('Results mr-DWL-5'!C13&gt;800,'Results mr-DWL-5'!C13&lt;5990),'Results mr-DWL-5'!D13,"NA")</f>
        <v>NA</v>
      </c>
      <c r="G33" s="40">
        <f>IF(AND('Results mr-DWL-40'!C13&gt;800,'Results mr-DWL-40'!C13&lt;4990),'Results mr-DWL-40'!D13,"NA")</f>
        <v>450</v>
      </c>
      <c r="H33" s="132"/>
      <c r="I33" s="259"/>
      <c r="J33" s="259"/>
      <c r="K33" s="259"/>
      <c r="L33" s="259"/>
      <c r="M33" s="116"/>
      <c r="N33" s="122"/>
      <c r="O33" s="122"/>
    </row>
    <row r="34" spans="1:16" ht="15" customHeight="1" thickTop="1" x14ac:dyDescent="0.2">
      <c r="E34" s="58"/>
      <c r="F34" s="29"/>
      <c r="G34" s="30"/>
      <c r="H34" s="128"/>
      <c r="I34" s="122"/>
      <c r="J34" s="122"/>
      <c r="K34" s="122"/>
      <c r="L34" s="122"/>
      <c r="M34" s="122"/>
      <c r="N34" s="122"/>
      <c r="O34" s="122"/>
    </row>
    <row r="35" spans="1:16" ht="15" customHeight="1" x14ac:dyDescent="0.2">
      <c r="A35" s="234" t="s">
        <v>13</v>
      </c>
      <c r="B35" s="235"/>
      <c r="C35" s="236"/>
      <c r="E35" s="88" t="s">
        <v>100</v>
      </c>
      <c r="F35" s="29"/>
      <c r="G35" s="30"/>
      <c r="H35" s="56"/>
      <c r="I35" s="258" t="s">
        <v>125</v>
      </c>
      <c r="J35" s="258"/>
      <c r="K35" s="258"/>
      <c r="L35" s="258"/>
      <c r="M35" s="116"/>
      <c r="N35" s="122"/>
      <c r="O35" s="122"/>
    </row>
    <row r="36" spans="1:16" ht="15" customHeight="1" x14ac:dyDescent="0.2">
      <c r="A36" s="237"/>
      <c r="B36" s="238"/>
      <c r="C36" s="239"/>
      <c r="E36" s="75" t="s">
        <v>82</v>
      </c>
      <c r="F36" s="33">
        <v>2</v>
      </c>
      <c r="G36" s="34">
        <v>5</v>
      </c>
      <c r="H36" s="56"/>
      <c r="I36" s="258"/>
      <c r="J36" s="258"/>
      <c r="K36" s="258"/>
      <c r="L36" s="258"/>
      <c r="M36" s="116"/>
      <c r="N36" s="122"/>
      <c r="O36" s="122"/>
    </row>
    <row r="37" spans="1:16" ht="15" customHeight="1" thickBot="1" x14ac:dyDescent="0.25">
      <c r="A37" s="240"/>
      <c r="B37" s="241"/>
      <c r="C37" s="242"/>
      <c r="D37" s="61"/>
      <c r="E37" s="76" t="s">
        <v>88</v>
      </c>
      <c r="F37" s="38" t="str">
        <f>IF(AND('Results mr-DWL-5'!C13&gt;800,'Results mr-DWL-5'!C13&lt;5990),'Results mr-DWL-5'!F13,"NA")</f>
        <v>NA</v>
      </c>
      <c r="G37" s="39">
        <f>IF(AND('Results mr-DWL-40'!C13&gt;800,'Results mr-DWL-40'!C13&lt;4990),'Results mr-DWL-40'!F13,"NA")</f>
        <v>6.875</v>
      </c>
      <c r="H37" s="114"/>
      <c r="I37" s="259"/>
      <c r="J37" s="259"/>
      <c r="K37" s="259"/>
      <c r="L37" s="259"/>
      <c r="M37" s="116"/>
      <c r="N37" s="122"/>
      <c r="O37" s="122"/>
      <c r="P37" s="122"/>
    </row>
    <row r="38" spans="1:16" ht="15" customHeight="1" thickTop="1" x14ac:dyDescent="0.2">
      <c r="E38" s="58"/>
      <c r="F38" s="29"/>
      <c r="G38" s="30"/>
      <c r="H38" s="56"/>
      <c r="M38" s="122"/>
      <c r="N38" s="122"/>
      <c r="O38" s="122"/>
      <c r="P38" s="122"/>
    </row>
    <row r="39" spans="1:16" ht="15" customHeight="1" x14ac:dyDescent="0.2">
      <c r="A39" s="234" t="s">
        <v>14</v>
      </c>
      <c r="B39" s="235"/>
      <c r="C39" s="236"/>
      <c r="E39" s="27"/>
      <c r="F39" s="29"/>
      <c r="G39" s="30"/>
      <c r="H39" s="56"/>
      <c r="I39" s="258" t="s">
        <v>55</v>
      </c>
      <c r="J39" s="258"/>
      <c r="K39" s="258"/>
      <c r="L39" s="258"/>
      <c r="M39" s="116"/>
      <c r="N39" s="122"/>
      <c r="O39" s="122"/>
      <c r="P39" s="122"/>
    </row>
    <row r="40" spans="1:16" ht="15" customHeight="1" x14ac:dyDescent="0.2">
      <c r="A40" s="237"/>
      <c r="B40" s="238"/>
      <c r="C40" s="239"/>
      <c r="E40" s="88" t="s">
        <v>101</v>
      </c>
      <c r="F40" s="61"/>
      <c r="G40" s="85"/>
      <c r="H40" s="56"/>
      <c r="I40" s="258"/>
      <c r="J40" s="258"/>
      <c r="K40" s="258"/>
      <c r="L40" s="258"/>
      <c r="M40" s="116"/>
      <c r="N40" s="122"/>
      <c r="O40" s="122"/>
      <c r="P40" s="122"/>
    </row>
    <row r="41" spans="1:16" ht="15" customHeight="1" thickBot="1" x14ac:dyDescent="0.25">
      <c r="A41" s="240"/>
      <c r="B41" s="241"/>
      <c r="C41" s="242"/>
      <c r="D41" s="61"/>
      <c r="E41" s="76" t="s">
        <v>53</v>
      </c>
      <c r="F41" s="35" t="str">
        <f>IF(AND('Results mr-DWL-5'!C13&gt;800,'Results mr-DWL-5'!C13&lt;5990),'Results mr-DWL-5'!G13,"NA")</f>
        <v>NA</v>
      </c>
      <c r="G41" s="40">
        <f>IF(AND('Results mr-DWL-40'!C13&gt;800,'Results mr-DWL-40'!C13&lt;4990),'Results mr-DWL-40'!G13,"NA")</f>
        <v>4.125</v>
      </c>
      <c r="H41" s="114"/>
      <c r="I41" s="259"/>
      <c r="J41" s="259"/>
      <c r="K41" s="259"/>
      <c r="L41" s="259"/>
      <c r="M41" s="116"/>
      <c r="N41" s="122"/>
      <c r="O41" s="122"/>
      <c r="P41" s="122"/>
    </row>
    <row r="42" spans="1:16" ht="15" customHeight="1" thickTop="1" x14ac:dyDescent="0.2">
      <c r="E42" s="58"/>
      <c r="F42" s="29"/>
      <c r="G42" s="30"/>
      <c r="H42" s="56"/>
      <c r="M42" s="129"/>
      <c r="N42" s="122"/>
      <c r="O42" s="122"/>
      <c r="P42" s="122"/>
    </row>
    <row r="43" spans="1:16" ht="15" customHeight="1" x14ac:dyDescent="0.2">
      <c r="A43" s="243" t="s">
        <v>15</v>
      </c>
      <c r="B43" s="244"/>
      <c r="C43" s="245"/>
      <c r="E43" s="27"/>
      <c r="F43" s="29"/>
      <c r="G43" s="30"/>
      <c r="H43" s="56"/>
      <c r="M43" s="122"/>
      <c r="N43" s="122"/>
      <c r="O43" s="122"/>
      <c r="P43" s="122"/>
    </row>
    <row r="44" spans="1:16" ht="15" customHeight="1" x14ac:dyDescent="0.25">
      <c r="A44" s="246"/>
      <c r="B44" s="247"/>
      <c r="C44" s="248"/>
      <c r="E44" s="123" t="s">
        <v>102</v>
      </c>
      <c r="F44" s="29"/>
      <c r="G44" s="30"/>
      <c r="H44" s="56"/>
      <c r="M44" s="122"/>
      <c r="N44" s="122"/>
      <c r="O44" s="122"/>
      <c r="P44" s="122"/>
    </row>
    <row r="45" spans="1:16" ht="15" customHeight="1" thickBot="1" x14ac:dyDescent="0.25">
      <c r="A45" s="249"/>
      <c r="B45" s="250"/>
      <c r="C45" s="251"/>
      <c r="D45" s="61"/>
      <c r="E45" s="109" t="s">
        <v>83</v>
      </c>
      <c r="F45" s="107">
        <v>30</v>
      </c>
      <c r="G45" s="108">
        <v>30</v>
      </c>
      <c r="H45" s="124"/>
      <c r="I45" s="125" t="s">
        <v>103</v>
      </c>
      <c r="J45" s="125"/>
      <c r="K45" s="125"/>
      <c r="L45" s="125"/>
      <c r="M45" s="122"/>
      <c r="N45" s="122"/>
      <c r="O45" s="122"/>
      <c r="P45" s="122"/>
    </row>
    <row r="46" spans="1:16" x14ac:dyDescent="0.2">
      <c r="H46" s="128"/>
      <c r="I46" s="122"/>
      <c r="J46" s="122"/>
      <c r="K46" s="122"/>
      <c r="L46" s="122"/>
      <c r="M46" s="122"/>
      <c r="N46" s="122"/>
      <c r="O46" s="122"/>
      <c r="P46" s="122"/>
    </row>
    <row r="48" spans="1:16" ht="12.75" customHeight="1" x14ac:dyDescent="0.2">
      <c r="E48" s="252" t="s">
        <v>105</v>
      </c>
      <c r="F48" s="252"/>
      <c r="G48" s="252"/>
      <c r="H48" s="133"/>
    </row>
    <row r="49" spans="3:13" s="41" customFormat="1" x14ac:dyDescent="0.2">
      <c r="D49" s="42"/>
      <c r="E49" s="252"/>
      <c r="F49" s="252"/>
      <c r="G49" s="252"/>
      <c r="H49" s="133"/>
    </row>
    <row r="50" spans="3:13" s="41" customFormat="1" x14ac:dyDescent="0.2">
      <c r="D50" s="42"/>
      <c r="E50" s="252"/>
      <c r="F50" s="252"/>
      <c r="G50" s="252"/>
      <c r="H50" s="133"/>
    </row>
    <row r="51" spans="3:13" s="41" customFormat="1" x14ac:dyDescent="0.2">
      <c r="D51" s="42"/>
      <c r="E51" s="43"/>
      <c r="G51" s="42"/>
      <c r="H51" s="42"/>
    </row>
    <row r="52" spans="3:13" s="41" customFormat="1" ht="25.5" x14ac:dyDescent="0.2">
      <c r="C52" s="97"/>
      <c r="D52" s="54"/>
      <c r="E52" s="102" t="s">
        <v>65</v>
      </c>
      <c r="F52" s="99"/>
      <c r="G52" s="99"/>
      <c r="H52" s="99"/>
      <c r="I52" s="97"/>
      <c r="J52" s="97"/>
      <c r="K52" s="97"/>
      <c r="L52" s="97"/>
      <c r="M52" s="97"/>
    </row>
    <row r="53" spans="3:13" s="41" customFormat="1" x14ac:dyDescent="0.2">
      <c r="C53" s="97"/>
      <c r="D53" s="54"/>
      <c r="E53" s="99"/>
      <c r="F53" s="99"/>
      <c r="G53" s="99"/>
      <c r="H53" s="99"/>
      <c r="I53" s="97"/>
      <c r="J53" s="97"/>
      <c r="K53" s="97"/>
      <c r="L53" s="97"/>
      <c r="M53" s="97"/>
    </row>
    <row r="54" spans="3:13" x14ac:dyDescent="0.2">
      <c r="C54" s="91"/>
      <c r="D54" s="98"/>
      <c r="E54" s="99"/>
      <c r="F54" s="99"/>
      <c r="G54" s="99"/>
      <c r="H54" s="99"/>
      <c r="I54" s="91"/>
      <c r="J54" s="91"/>
      <c r="K54" s="91"/>
      <c r="L54" s="91"/>
      <c r="M54" s="91"/>
    </row>
    <row r="55" spans="3:13" x14ac:dyDescent="0.2">
      <c r="C55" s="91"/>
      <c r="D55" s="98"/>
      <c r="E55" s="91"/>
      <c r="F55" s="91"/>
      <c r="G55" s="98"/>
      <c r="H55" s="98"/>
      <c r="I55" s="91"/>
      <c r="J55" s="91"/>
      <c r="K55" s="91"/>
      <c r="L55" s="91"/>
      <c r="M55" s="91"/>
    </row>
    <row r="56" spans="3:13" x14ac:dyDescent="0.2">
      <c r="C56" s="91"/>
      <c r="D56" s="98"/>
      <c r="E56" s="91"/>
      <c r="F56" s="91"/>
      <c r="G56" s="98"/>
      <c r="H56" s="98"/>
      <c r="I56" s="91"/>
      <c r="J56" s="91"/>
      <c r="K56" s="91"/>
      <c r="L56" s="91"/>
      <c r="M56" s="91"/>
    </row>
  </sheetData>
  <mergeCells count="18">
    <mergeCell ref="I39:L41"/>
    <mergeCell ref="I17:L18"/>
    <mergeCell ref="I25:L27"/>
    <mergeCell ref="I29:L33"/>
    <mergeCell ref="I35:L37"/>
    <mergeCell ref="I20:L23"/>
    <mergeCell ref="E48:G50"/>
    <mergeCell ref="A12:C14"/>
    <mergeCell ref="G14:G15"/>
    <mergeCell ref="F14:F15"/>
    <mergeCell ref="A25:C27"/>
    <mergeCell ref="A16:C18"/>
    <mergeCell ref="A21:C23"/>
    <mergeCell ref="A3:C10"/>
    <mergeCell ref="A31:C33"/>
    <mergeCell ref="A35:C37"/>
    <mergeCell ref="A39:C41"/>
    <mergeCell ref="A43:C45"/>
  </mergeCells>
  <conditionalFormatting sqref="F37:G37 F41:G41 G27">
    <cfRule type="cellIs" dxfId="3" priority="4" stopIfTrue="1" operator="between">
      <formula>1</formula>
      <formula>600</formula>
    </cfRule>
  </conditionalFormatting>
  <conditionalFormatting sqref="F33:G33">
    <cfRule type="cellIs" dxfId="2" priority="3" stopIfTrue="1" operator="between">
      <formula>0</formula>
      <formula>10000</formula>
    </cfRule>
  </conditionalFormatting>
  <conditionalFormatting sqref="F18:G18">
    <cfRule type="cellIs" dxfId="1" priority="2" stopIfTrue="1" operator="between">
      <formula>800</formula>
      <formula>5990</formula>
    </cfRule>
  </conditionalFormatting>
  <hyperlinks>
    <hyperlink ref="F14" location="'Results GM 1060'!A13" display="GM 1060"/>
    <hyperlink ref="E52" location="Troubleshoot!A1" display="Troubleshooting guidelines"/>
    <hyperlink ref="I2" location="Home!A5" display="Home"/>
    <hyperlink ref="E3" r:id="rId1"/>
    <hyperlink ref="G14" location="'Results GM 1070'!A13" display="GM 1070"/>
    <hyperlink ref="E6" location="'Z13 Runcard'!A1" display="Z13 Sawatec LSM250"/>
    <hyperlink ref="I17" location="'Spin graph'!A1" display="Velocity profile"/>
    <hyperlink ref="F14:F15" r:id="rId2" display="mr-DWL-5"/>
    <hyperlink ref="G14:G15" r:id="rId3" display="mr-DWL-40"/>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B13" sqref="B13"/>
    </sheetView>
  </sheetViews>
  <sheetFormatPr defaultColWidth="11.42578125" defaultRowHeight="12.75" x14ac:dyDescent="0.2"/>
  <cols>
    <col min="1" max="5" width="15.85546875" customWidth="1"/>
  </cols>
  <sheetData>
    <row r="1" spans="1:5" ht="18" x14ac:dyDescent="0.25">
      <c r="A1" s="21" t="s">
        <v>5</v>
      </c>
      <c r="E1" s="49" t="s">
        <v>46</v>
      </c>
    </row>
    <row r="2" spans="1:5" ht="39.75" x14ac:dyDescent="0.2">
      <c r="A2" s="68" t="s">
        <v>41</v>
      </c>
      <c r="B2" s="68" t="s">
        <v>42</v>
      </c>
      <c r="C2" s="68"/>
      <c r="D2" s="68" t="s">
        <v>42</v>
      </c>
      <c r="E2" s="68" t="s">
        <v>43</v>
      </c>
    </row>
    <row r="3" spans="1:5" ht="12.75" customHeight="1" x14ac:dyDescent="0.2">
      <c r="A3" s="1">
        <v>2000</v>
      </c>
      <c r="B3" s="1">
        <v>94.2</v>
      </c>
      <c r="C3" s="1"/>
      <c r="D3" s="1">
        <v>43</v>
      </c>
      <c r="E3" s="2">
        <v>147</v>
      </c>
    </row>
    <row r="4" spans="1:5" x14ac:dyDescent="0.2">
      <c r="A4" s="1">
        <v>4000</v>
      </c>
      <c r="B4" s="1">
        <v>43</v>
      </c>
      <c r="C4" s="1"/>
      <c r="D4" s="1">
        <v>94.2</v>
      </c>
      <c r="E4" s="2">
        <v>174</v>
      </c>
    </row>
    <row r="5" spans="1:5" x14ac:dyDescent="0.2">
      <c r="A5" s="1"/>
      <c r="B5" s="1"/>
      <c r="C5" s="1"/>
      <c r="D5" s="1"/>
      <c r="E5" s="1"/>
    </row>
    <row r="6" spans="1:5" x14ac:dyDescent="0.2">
      <c r="A6" s="1"/>
      <c r="B6" s="1"/>
      <c r="C6" s="1"/>
      <c r="D6" s="1"/>
      <c r="E6" s="1"/>
    </row>
    <row r="10" spans="1:5" ht="27" x14ac:dyDescent="0.2">
      <c r="A10" s="1"/>
      <c r="B10" s="101" t="s">
        <v>64</v>
      </c>
      <c r="C10" s="101" t="s">
        <v>41</v>
      </c>
      <c r="D10" s="101" t="s">
        <v>63</v>
      </c>
    </row>
    <row r="11" spans="1:5" x14ac:dyDescent="0.2">
      <c r="A11" s="52" t="s">
        <v>44</v>
      </c>
      <c r="B11" s="50" t="str">
        <f>'V-shape Implants'!F8</f>
        <v>https://www.sigmaaldrich.com/CH/en/product/aldrich/448931</v>
      </c>
      <c r="C11" s="2" t="e">
        <f>(B11/511492)^(-1/1.1314)</f>
        <v>#VALUE!</v>
      </c>
      <c r="D11" s="2" t="e">
        <f>2*(B11*0.5273+124.32)</f>
        <v>#VALUE!</v>
      </c>
    </row>
    <row r="12" spans="1:5" x14ac:dyDescent="0.2">
      <c r="A12" s="52" t="s">
        <v>45</v>
      </c>
      <c r="B12" s="51" t="str">
        <f>'V-shape Implants'!F8</f>
        <v>https://www.sigmaaldrich.com/CH/en/product/aldrich/448931</v>
      </c>
      <c r="C12" s="2" t="e">
        <f>(B12/511492)^(-1/1.1314)</f>
        <v>#VALUE!</v>
      </c>
      <c r="D12" s="2" t="e">
        <f>B12*0.5273+124.32</f>
        <v>#VALUE!</v>
      </c>
    </row>
    <row r="14" spans="1:5" ht="18" x14ac:dyDescent="0.25">
      <c r="E14" s="49"/>
    </row>
    <row r="15" spans="1:5" x14ac:dyDescent="0.2">
      <c r="E15" s="25"/>
    </row>
  </sheetData>
  <hyperlinks>
    <hyperlink ref="E1" location="Home!A5" display="Home"/>
  </hyperlinks>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5"/>
  <sheetViews>
    <sheetView topLeftCell="A22" workbookViewId="0">
      <selection activeCell="H41" sqref="H41"/>
    </sheetView>
  </sheetViews>
  <sheetFormatPr defaultColWidth="11.5703125" defaultRowHeight="12.75" x14ac:dyDescent="0.2"/>
  <cols>
    <col min="1" max="1" width="11.5703125" style="24"/>
    <col min="2" max="2" width="13.42578125" style="24" customWidth="1"/>
    <col min="3" max="3" width="11.5703125" style="24"/>
    <col min="4" max="4" width="11.140625" style="1" customWidth="1"/>
    <col min="5" max="5" width="26.42578125" style="24" customWidth="1"/>
    <col min="6" max="6" width="51.85546875" style="24" customWidth="1"/>
    <col min="7" max="7" width="12.85546875" style="2" customWidth="1"/>
    <col min="8" max="8" width="22.42578125" style="1" customWidth="1"/>
    <col min="9" max="9" width="59.28515625" style="1" customWidth="1"/>
    <col min="10" max="10" width="12.85546875" style="1" customWidth="1"/>
    <col min="11" max="11" width="4.28515625" style="1" customWidth="1"/>
    <col min="12" max="12" width="27.42578125" style="24" customWidth="1"/>
    <col min="13" max="13" width="50.7109375" style="24" customWidth="1"/>
    <col min="14" max="16384" width="11.5703125" style="24"/>
  </cols>
  <sheetData>
    <row r="1" spans="1:13" s="56" customFormat="1" ht="37.5" customHeight="1" x14ac:dyDescent="0.2">
      <c r="A1" s="159" t="s">
        <v>135</v>
      </c>
      <c r="B1" s="23"/>
      <c r="C1" s="23"/>
      <c r="D1" s="158" t="s">
        <v>46</v>
      </c>
      <c r="E1" s="160"/>
      <c r="F1" s="158"/>
      <c r="G1" s="2"/>
      <c r="H1" s="1"/>
      <c r="I1" s="1"/>
      <c r="J1" s="1"/>
      <c r="K1" s="1"/>
    </row>
    <row r="2" spans="1:13" s="56" customFormat="1" ht="15" customHeight="1" thickBot="1" x14ac:dyDescent="0.45">
      <c r="A2" s="149"/>
      <c r="D2" s="49"/>
      <c r="E2" s="49"/>
      <c r="J2" s="1"/>
      <c r="K2" s="1"/>
    </row>
    <row r="3" spans="1:13" ht="18.75" customHeight="1" x14ac:dyDescent="0.25">
      <c r="E3" s="268" t="s">
        <v>160</v>
      </c>
      <c r="F3" s="269"/>
      <c r="H3" s="268" t="s">
        <v>163</v>
      </c>
      <c r="I3" s="269"/>
    </row>
    <row r="4" spans="1:13" s="56" customFormat="1" ht="15" customHeight="1" x14ac:dyDescent="0.25">
      <c r="A4" s="234" t="s">
        <v>152</v>
      </c>
      <c r="B4" s="235"/>
      <c r="C4" s="236"/>
      <c r="D4" s="1"/>
      <c r="E4" s="155"/>
      <c r="F4" s="156"/>
      <c r="H4" s="155"/>
      <c r="I4" s="156"/>
      <c r="J4" s="1"/>
      <c r="K4" s="1"/>
    </row>
    <row r="5" spans="1:13" s="56" customFormat="1" ht="16.5" customHeight="1" x14ac:dyDescent="0.2">
      <c r="A5" s="237"/>
      <c r="B5" s="238"/>
      <c r="C5" s="239"/>
      <c r="D5" s="1"/>
      <c r="E5" s="152" t="s">
        <v>159</v>
      </c>
      <c r="F5" s="270" t="s">
        <v>153</v>
      </c>
      <c r="H5" s="152" t="s">
        <v>164</v>
      </c>
      <c r="I5" s="167" t="s">
        <v>171</v>
      </c>
      <c r="J5" s="1"/>
      <c r="K5" s="1"/>
    </row>
    <row r="6" spans="1:13" s="56" customFormat="1" ht="15" customHeight="1" x14ac:dyDescent="0.2">
      <c r="A6" s="240"/>
      <c r="B6" s="241"/>
      <c r="C6" s="242"/>
      <c r="D6" s="1"/>
      <c r="E6" s="152"/>
      <c r="F6" s="270"/>
      <c r="H6" s="152"/>
      <c r="I6" s="168"/>
      <c r="J6" s="1"/>
      <c r="K6" s="1"/>
    </row>
    <row r="7" spans="1:13" s="56" customFormat="1" ht="12.75" customHeight="1" x14ac:dyDescent="0.2">
      <c r="D7" s="1"/>
      <c r="E7" s="27"/>
      <c r="F7" s="137"/>
      <c r="H7" s="152" t="s">
        <v>165</v>
      </c>
      <c r="I7" s="167" t="s">
        <v>150</v>
      </c>
      <c r="J7" s="1"/>
      <c r="K7" s="116"/>
    </row>
    <row r="8" spans="1:13" ht="12.75" customHeight="1" x14ac:dyDescent="0.2">
      <c r="A8" s="234" t="s">
        <v>144</v>
      </c>
      <c r="B8" s="235"/>
      <c r="C8" s="236"/>
      <c r="E8" s="152" t="s">
        <v>149</v>
      </c>
      <c r="F8" s="143" t="s">
        <v>150</v>
      </c>
      <c r="H8" s="166"/>
      <c r="I8" s="169"/>
      <c r="J8" s="21"/>
      <c r="K8" s="116"/>
    </row>
    <row r="9" spans="1:13" ht="16.5" customHeight="1" x14ac:dyDescent="0.2">
      <c r="A9" s="237"/>
      <c r="B9" s="238"/>
      <c r="C9" s="239"/>
      <c r="E9" s="153"/>
      <c r="F9" s="154"/>
      <c r="H9" s="152" t="s">
        <v>166</v>
      </c>
      <c r="I9" s="270" t="s">
        <v>169</v>
      </c>
      <c r="J9" s="139"/>
    </row>
    <row r="10" spans="1:13" s="56" customFormat="1" ht="18" customHeight="1" x14ac:dyDescent="0.2">
      <c r="A10" s="240"/>
      <c r="B10" s="241"/>
      <c r="C10" s="242"/>
      <c r="D10" s="1"/>
      <c r="E10" s="152" t="s">
        <v>151</v>
      </c>
      <c r="F10" s="143" t="s">
        <v>136</v>
      </c>
      <c r="H10" s="166"/>
      <c r="I10" s="270"/>
      <c r="J10" s="1"/>
      <c r="K10" s="1"/>
      <c r="L10" s="1"/>
      <c r="M10" s="1"/>
    </row>
    <row r="11" spans="1:13" s="56" customFormat="1" ht="13.5" thickBot="1" x14ac:dyDescent="0.25">
      <c r="D11" s="1"/>
      <c r="E11" s="161"/>
      <c r="F11" s="162"/>
      <c r="H11" s="27"/>
      <c r="I11" s="137"/>
      <c r="J11" s="1"/>
      <c r="K11" s="1"/>
      <c r="L11" s="1"/>
      <c r="M11" s="1"/>
    </row>
    <row r="12" spans="1:13" s="56" customFormat="1" ht="12.75" customHeight="1" x14ac:dyDescent="0.2">
      <c r="A12" s="234" t="s">
        <v>145</v>
      </c>
      <c r="B12" s="235"/>
      <c r="C12" s="236"/>
      <c r="D12" s="1"/>
      <c r="E12" s="151"/>
      <c r="F12" s="150"/>
      <c r="H12" s="165" t="s">
        <v>167</v>
      </c>
      <c r="I12" s="170" t="s">
        <v>170</v>
      </c>
      <c r="J12" s="1"/>
      <c r="K12" s="1"/>
      <c r="L12" s="1"/>
      <c r="M12" s="116"/>
    </row>
    <row r="13" spans="1:13" s="56" customFormat="1" ht="12.75" customHeight="1" x14ac:dyDescent="0.2">
      <c r="A13" s="237"/>
      <c r="B13" s="238"/>
      <c r="C13" s="239"/>
      <c r="D13" s="1"/>
      <c r="E13" s="151"/>
      <c r="F13" s="150"/>
      <c r="H13" s="165"/>
      <c r="I13" s="171"/>
      <c r="J13" s="1"/>
      <c r="K13" s="1"/>
      <c r="L13" s="1"/>
      <c r="M13" s="116"/>
    </row>
    <row r="14" spans="1:13" s="56" customFormat="1" ht="12.75" customHeight="1" x14ac:dyDescent="0.2">
      <c r="A14" s="240"/>
      <c r="B14" s="241"/>
      <c r="C14" s="242"/>
      <c r="D14" s="1"/>
      <c r="E14" s="151"/>
      <c r="F14" s="150"/>
      <c r="H14" s="165" t="s">
        <v>168</v>
      </c>
      <c r="I14" s="170" t="s">
        <v>137</v>
      </c>
      <c r="J14" s="1"/>
      <c r="K14" s="1"/>
      <c r="L14" s="1"/>
      <c r="M14" s="116"/>
    </row>
    <row r="15" spans="1:13" s="56" customFormat="1" ht="12.75" customHeight="1" thickBot="1" x14ac:dyDescent="0.25">
      <c r="D15" s="1"/>
      <c r="F15" s="126"/>
      <c r="H15" s="163"/>
      <c r="I15" s="164"/>
      <c r="J15" s="1"/>
      <c r="K15" s="1"/>
      <c r="L15" s="21"/>
      <c r="M15" s="116"/>
    </row>
    <row r="16" spans="1:13" s="56" customFormat="1" ht="12.75" customHeight="1" x14ac:dyDescent="0.2">
      <c r="A16" s="234" t="s">
        <v>146</v>
      </c>
      <c r="B16" s="235"/>
      <c r="C16" s="236"/>
      <c r="D16" s="1"/>
      <c r="E16" s="126"/>
      <c r="F16" s="126"/>
      <c r="J16" s="1"/>
      <c r="K16" s="1"/>
      <c r="L16" s="21"/>
      <c r="M16" s="116"/>
    </row>
    <row r="17" spans="1:16" s="56" customFormat="1" ht="12.75" customHeight="1" x14ac:dyDescent="0.2">
      <c r="A17" s="237"/>
      <c r="B17" s="238"/>
      <c r="C17" s="239"/>
      <c r="D17" s="1"/>
      <c r="E17" s="126"/>
      <c r="F17" s="126"/>
      <c r="J17" s="1"/>
      <c r="K17" s="1"/>
      <c r="L17" s="1"/>
      <c r="M17" s="1"/>
    </row>
    <row r="18" spans="1:16" s="56" customFormat="1" ht="12.75" customHeight="1" thickBot="1" x14ac:dyDescent="0.25">
      <c r="A18" s="240"/>
      <c r="B18" s="241"/>
      <c r="C18" s="242"/>
      <c r="D18" s="1"/>
      <c r="F18" s="126"/>
      <c r="G18" s="2"/>
      <c r="H18" s="1"/>
      <c r="I18" s="1"/>
      <c r="J18" s="1"/>
      <c r="K18" s="1"/>
      <c r="L18" s="1"/>
      <c r="M18" s="1"/>
    </row>
    <row r="19" spans="1:16" ht="18.75" customHeight="1" x14ac:dyDescent="0.25">
      <c r="A19" s="142"/>
      <c r="B19" s="142"/>
      <c r="C19" s="142"/>
      <c r="E19" s="273" t="s">
        <v>155</v>
      </c>
      <c r="F19" s="274"/>
      <c r="L19" s="140"/>
      <c r="M19" s="140"/>
    </row>
    <row r="20" spans="1:16" s="56" customFormat="1" ht="18.75" customHeight="1" x14ac:dyDescent="0.25">
      <c r="A20" s="234" t="s">
        <v>161</v>
      </c>
      <c r="B20" s="235"/>
      <c r="C20" s="236"/>
      <c r="D20" s="1"/>
      <c r="E20" s="155"/>
      <c r="F20" s="156"/>
      <c r="G20" s="2"/>
      <c r="H20" s="1"/>
      <c r="I20" s="1"/>
      <c r="J20" s="1"/>
      <c r="K20" s="1"/>
      <c r="L20" s="146"/>
      <c r="M20" s="146"/>
    </row>
    <row r="21" spans="1:16" s="56" customFormat="1" ht="18.75" customHeight="1" x14ac:dyDescent="0.2">
      <c r="A21" s="237"/>
      <c r="B21" s="238"/>
      <c r="C21" s="239"/>
      <c r="D21" s="1"/>
      <c r="E21" s="271" t="s">
        <v>156</v>
      </c>
      <c r="F21" s="272" t="s">
        <v>157</v>
      </c>
      <c r="G21" s="2"/>
      <c r="H21" s="1"/>
      <c r="I21" s="1"/>
      <c r="J21" s="1"/>
      <c r="K21" s="1"/>
      <c r="L21" s="146"/>
      <c r="M21" s="146"/>
    </row>
    <row r="22" spans="1:16" s="56" customFormat="1" ht="18.75" customHeight="1" x14ac:dyDescent="0.2">
      <c r="A22" s="240"/>
      <c r="B22" s="241"/>
      <c r="C22" s="242"/>
      <c r="D22" s="1"/>
      <c r="E22" s="271"/>
      <c r="F22" s="272"/>
      <c r="G22" s="2"/>
      <c r="H22" s="1"/>
      <c r="I22" s="1"/>
      <c r="J22" s="1"/>
      <c r="K22" s="1"/>
      <c r="L22" s="146"/>
      <c r="M22" s="146"/>
    </row>
    <row r="23" spans="1:16" s="56" customFormat="1" ht="18.75" customHeight="1" x14ac:dyDescent="0.25">
      <c r="D23" s="1"/>
      <c r="E23" s="155"/>
      <c r="F23" s="156"/>
      <c r="G23" s="2"/>
      <c r="H23" s="1"/>
      <c r="I23" s="1"/>
      <c r="J23" s="1"/>
      <c r="K23" s="1"/>
      <c r="L23" s="146"/>
      <c r="M23" s="146"/>
    </row>
    <row r="24" spans="1:16" ht="15" customHeight="1" x14ac:dyDescent="0.2">
      <c r="A24" s="234" t="s">
        <v>148</v>
      </c>
      <c r="B24" s="235"/>
      <c r="C24" s="236"/>
      <c r="E24" s="172" t="s">
        <v>144</v>
      </c>
      <c r="F24" s="266" t="s">
        <v>158</v>
      </c>
    </row>
    <row r="25" spans="1:16" ht="15" customHeight="1" x14ac:dyDescent="0.2">
      <c r="A25" s="237"/>
      <c r="B25" s="238"/>
      <c r="C25" s="239"/>
      <c r="E25" s="27"/>
      <c r="F25" s="266"/>
      <c r="G25" s="145"/>
      <c r="J25" s="56"/>
      <c r="K25" s="56"/>
      <c r="L25" s="56"/>
      <c r="M25" s="56"/>
      <c r="N25" s="56"/>
      <c r="O25" s="56"/>
    </row>
    <row r="26" spans="1:16" ht="15" customHeight="1" x14ac:dyDescent="0.2">
      <c r="A26" s="240"/>
      <c r="B26" s="241"/>
      <c r="C26" s="242"/>
      <c r="E26" s="173"/>
      <c r="F26" s="266"/>
      <c r="G26" s="145"/>
      <c r="H26" s="145"/>
      <c r="I26" s="144"/>
      <c r="J26" s="56"/>
      <c r="K26" s="56"/>
      <c r="L26" s="56"/>
      <c r="M26" s="56"/>
      <c r="N26" s="56"/>
      <c r="O26" s="56"/>
    </row>
    <row r="27" spans="1:16" ht="15" customHeight="1" x14ac:dyDescent="0.2">
      <c r="A27" s="56"/>
      <c r="B27" s="56"/>
      <c r="C27" s="56"/>
      <c r="E27" s="173"/>
      <c r="F27" s="266"/>
      <c r="G27" s="1"/>
      <c r="H27" s="145"/>
      <c r="I27" s="144"/>
      <c r="J27" s="56"/>
      <c r="K27" s="56"/>
      <c r="L27" s="56"/>
      <c r="M27" s="56"/>
      <c r="N27" s="56"/>
      <c r="O27" s="56"/>
    </row>
    <row r="28" spans="1:16" ht="15" customHeight="1" x14ac:dyDescent="0.2">
      <c r="A28" s="234" t="s">
        <v>147</v>
      </c>
      <c r="B28" s="235"/>
      <c r="C28" s="236"/>
      <c r="D28" s="98"/>
      <c r="E28" s="130"/>
      <c r="F28" s="266"/>
      <c r="G28" s="98"/>
      <c r="H28" s="98"/>
      <c r="I28" s="98"/>
      <c r="J28" s="56"/>
      <c r="K28" s="56"/>
      <c r="L28" s="56"/>
      <c r="M28" s="56"/>
      <c r="N28" s="56"/>
      <c r="O28" s="56"/>
    </row>
    <row r="29" spans="1:16" ht="15" customHeight="1" x14ac:dyDescent="0.2">
      <c r="A29" s="237"/>
      <c r="B29" s="238"/>
      <c r="C29" s="239"/>
      <c r="E29" s="174"/>
      <c r="F29" s="266"/>
      <c r="G29" s="1"/>
      <c r="J29" s="56"/>
      <c r="K29" s="56"/>
      <c r="L29" s="56"/>
      <c r="M29" s="56"/>
      <c r="N29" s="56"/>
      <c r="O29" s="56"/>
      <c r="P29" s="56"/>
    </row>
    <row r="30" spans="1:16" ht="15" customHeight="1" x14ac:dyDescent="0.2">
      <c r="A30" s="240"/>
      <c r="B30" s="241"/>
      <c r="C30" s="242"/>
      <c r="E30" s="174"/>
      <c r="F30" s="266"/>
      <c r="G30" s="1"/>
      <c r="J30" s="56"/>
      <c r="K30" s="122"/>
      <c r="L30" s="56"/>
      <c r="M30" s="56"/>
      <c r="N30" s="122"/>
      <c r="O30" s="56"/>
      <c r="P30" s="56"/>
    </row>
    <row r="31" spans="1:16" ht="15" customHeight="1" x14ac:dyDescent="0.2">
      <c r="E31" s="174"/>
      <c r="F31" s="266"/>
      <c r="G31" s="1"/>
      <c r="J31" s="56"/>
      <c r="K31" s="122"/>
      <c r="L31" s="56"/>
      <c r="M31" s="56"/>
      <c r="N31" s="122"/>
      <c r="O31" s="56"/>
      <c r="P31" s="56"/>
    </row>
    <row r="32" spans="1:16" ht="15" customHeight="1" x14ac:dyDescent="0.2">
      <c r="E32" s="174"/>
      <c r="F32" s="266"/>
      <c r="G32" s="1"/>
      <c r="J32" s="56"/>
      <c r="K32" s="122"/>
      <c r="L32" s="56"/>
      <c r="M32" s="56"/>
      <c r="N32" s="122"/>
      <c r="O32" s="56"/>
      <c r="P32" s="56"/>
    </row>
    <row r="33" spans="1:19" ht="15" customHeight="1" x14ac:dyDescent="0.2">
      <c r="D33" s="98"/>
      <c r="E33" s="130"/>
      <c r="F33" s="266"/>
      <c r="G33" s="98"/>
      <c r="H33" s="98"/>
      <c r="I33" s="98"/>
      <c r="J33" s="56"/>
      <c r="K33" s="56"/>
      <c r="L33" s="56"/>
      <c r="M33" s="56"/>
      <c r="N33" s="56"/>
      <c r="O33" s="56"/>
      <c r="P33" s="116"/>
    </row>
    <row r="34" spans="1:19" ht="15" customHeight="1" x14ac:dyDescent="0.2">
      <c r="E34" s="174"/>
      <c r="F34" s="266"/>
      <c r="G34" s="1"/>
      <c r="J34" s="56"/>
      <c r="K34" s="56"/>
      <c r="L34" s="56"/>
      <c r="M34" s="56"/>
      <c r="N34" s="56"/>
      <c r="O34" s="56"/>
      <c r="P34" s="116"/>
      <c r="S34" s="56"/>
    </row>
    <row r="35" spans="1:19" s="56" customFormat="1" ht="15" customHeight="1" x14ac:dyDescent="0.2">
      <c r="D35" s="98"/>
      <c r="E35" s="130"/>
      <c r="F35" s="266"/>
      <c r="G35" s="98"/>
      <c r="H35" s="98"/>
      <c r="I35" s="98"/>
      <c r="P35" s="116"/>
    </row>
    <row r="36" spans="1:19" ht="15" customHeight="1" x14ac:dyDescent="0.2">
      <c r="E36" s="271" t="s">
        <v>154</v>
      </c>
      <c r="F36" s="266" t="s">
        <v>226</v>
      </c>
      <c r="G36" s="1"/>
      <c r="J36" s="56"/>
      <c r="K36" s="56"/>
      <c r="L36" s="56"/>
      <c r="M36" s="56"/>
      <c r="N36" s="56"/>
      <c r="O36" s="56"/>
      <c r="P36" s="116"/>
    </row>
    <row r="37" spans="1:19" ht="15" customHeight="1" x14ac:dyDescent="0.2">
      <c r="D37" s="98"/>
      <c r="E37" s="271"/>
      <c r="F37" s="266"/>
      <c r="G37" s="98"/>
      <c r="H37" s="98"/>
      <c r="I37" s="98"/>
      <c r="J37" s="56"/>
      <c r="K37" s="56"/>
      <c r="L37" s="56"/>
      <c r="M37" s="56"/>
      <c r="N37" s="56"/>
      <c r="O37" s="56"/>
      <c r="P37" s="122"/>
      <c r="R37" s="122"/>
    </row>
    <row r="38" spans="1:19" ht="15" customHeight="1" x14ac:dyDescent="0.2">
      <c r="E38" s="174"/>
      <c r="F38" s="266"/>
      <c r="G38" s="1"/>
      <c r="J38" s="56"/>
      <c r="K38" s="56"/>
      <c r="L38" s="56"/>
      <c r="M38" s="56"/>
      <c r="N38" s="56"/>
      <c r="O38" s="56"/>
      <c r="P38" s="116"/>
      <c r="R38" s="122"/>
    </row>
    <row r="39" spans="1:19" ht="15" customHeight="1" x14ac:dyDescent="0.2">
      <c r="E39" s="174"/>
      <c r="F39" s="266"/>
      <c r="G39" s="1"/>
      <c r="J39" s="56"/>
      <c r="K39" s="122"/>
      <c r="L39" s="56"/>
      <c r="M39" s="56"/>
      <c r="N39" s="122"/>
      <c r="O39" s="56"/>
      <c r="P39" s="116"/>
      <c r="R39" s="122"/>
    </row>
    <row r="40" spans="1:19" ht="15" customHeight="1" x14ac:dyDescent="0.2">
      <c r="E40" s="174"/>
      <c r="F40" s="30"/>
      <c r="G40" s="1"/>
      <c r="J40" s="56"/>
      <c r="K40" s="122"/>
      <c r="L40" s="56"/>
      <c r="M40" s="56"/>
      <c r="N40" s="122"/>
      <c r="O40" s="56"/>
      <c r="P40" s="116"/>
    </row>
    <row r="41" spans="1:19" ht="15" customHeight="1" x14ac:dyDescent="0.2">
      <c r="E41" s="175" t="s">
        <v>146</v>
      </c>
      <c r="F41" s="266" t="s">
        <v>225</v>
      </c>
      <c r="G41" s="1"/>
      <c r="J41" s="56"/>
      <c r="K41" s="122"/>
      <c r="L41" s="56"/>
      <c r="M41" s="56"/>
      <c r="N41" s="122"/>
      <c r="O41" s="56"/>
      <c r="P41" s="122"/>
    </row>
    <row r="42" spans="1:19" ht="15" customHeight="1" x14ac:dyDescent="0.2">
      <c r="D42" s="98"/>
      <c r="E42" s="130"/>
      <c r="F42" s="266"/>
      <c r="G42" s="98"/>
      <c r="H42" s="98"/>
      <c r="I42" s="98"/>
      <c r="J42" s="56"/>
      <c r="K42" s="56"/>
      <c r="L42" s="56"/>
      <c r="M42" s="56"/>
      <c r="N42" s="56"/>
      <c r="O42" s="56"/>
      <c r="P42" s="116"/>
    </row>
    <row r="43" spans="1:19" ht="15" customHeight="1" x14ac:dyDescent="0.2">
      <c r="E43" s="174"/>
      <c r="F43" s="266"/>
      <c r="G43" s="1"/>
      <c r="J43" s="56"/>
      <c r="K43" s="56"/>
      <c r="L43" s="56"/>
      <c r="M43" s="56"/>
      <c r="N43" s="56"/>
      <c r="O43" s="56"/>
      <c r="P43" s="116"/>
    </row>
    <row r="44" spans="1:19" ht="15" customHeight="1" x14ac:dyDescent="0.2">
      <c r="E44" s="174"/>
      <c r="F44" s="266"/>
      <c r="G44" s="1"/>
      <c r="J44" s="56"/>
      <c r="K44" s="56"/>
      <c r="L44" s="56"/>
      <c r="M44" s="56"/>
      <c r="N44" s="56"/>
      <c r="O44" s="56"/>
      <c r="P44" s="116"/>
    </row>
    <row r="45" spans="1:19" ht="15" customHeight="1" x14ac:dyDescent="0.2">
      <c r="A45" s="56"/>
      <c r="B45" s="56"/>
      <c r="C45" s="56"/>
      <c r="E45" s="174"/>
      <c r="F45" s="266"/>
      <c r="G45" s="1"/>
      <c r="J45" s="56"/>
      <c r="K45" s="56"/>
      <c r="L45" s="56"/>
      <c r="M45" s="56"/>
      <c r="N45" s="56"/>
      <c r="O45" s="56"/>
      <c r="P45" s="17"/>
      <c r="Q45" s="91"/>
    </row>
    <row r="46" spans="1:19" ht="15" customHeight="1" x14ac:dyDescent="0.2">
      <c r="A46" s="100"/>
      <c r="B46" s="98"/>
      <c r="C46" s="98"/>
      <c r="E46" s="174"/>
      <c r="F46" s="266"/>
      <c r="G46" s="1"/>
      <c r="J46" s="56"/>
      <c r="K46" s="56"/>
      <c r="L46" s="56"/>
      <c r="M46" s="56"/>
      <c r="N46" s="56"/>
      <c r="O46" s="56"/>
      <c r="P46" s="56"/>
    </row>
    <row r="47" spans="1:19" ht="15" customHeight="1" x14ac:dyDescent="0.2">
      <c r="A47" s="2"/>
      <c r="B47" s="1"/>
      <c r="C47" s="1"/>
      <c r="D47" s="98"/>
      <c r="E47" s="130"/>
      <c r="F47" s="266"/>
      <c r="G47" s="98"/>
      <c r="H47" s="98"/>
      <c r="I47" s="98"/>
      <c r="J47" s="56"/>
      <c r="K47" s="56"/>
      <c r="L47" s="56"/>
      <c r="M47" s="56"/>
      <c r="N47" s="56"/>
      <c r="O47" s="56"/>
      <c r="P47" s="56"/>
    </row>
    <row r="48" spans="1:19" ht="15" customHeight="1" x14ac:dyDescent="0.2">
      <c r="A48" s="2"/>
      <c r="B48" s="1"/>
      <c r="C48" s="1"/>
      <c r="E48" s="174"/>
      <c r="F48" s="266"/>
      <c r="G48" s="1"/>
      <c r="J48" s="56"/>
      <c r="K48" s="122"/>
      <c r="L48" s="56"/>
      <c r="M48" s="56"/>
      <c r="N48" s="122"/>
      <c r="O48" s="56"/>
      <c r="P48" s="56"/>
    </row>
    <row r="49" spans="1:16" x14ac:dyDescent="0.2">
      <c r="A49" s="100"/>
      <c r="B49" s="98"/>
      <c r="C49" s="98"/>
      <c r="E49" s="27"/>
      <c r="F49" s="266"/>
      <c r="G49" s="99"/>
      <c r="J49" s="56"/>
      <c r="K49" s="122"/>
      <c r="L49" s="56"/>
      <c r="M49" s="56"/>
      <c r="N49" s="122"/>
      <c r="O49" s="56"/>
    </row>
    <row r="50" spans="1:16" s="41" customFormat="1" ht="12.75" customHeight="1" x14ac:dyDescent="0.2">
      <c r="A50" s="2"/>
      <c r="B50" s="1"/>
      <c r="C50" s="1"/>
      <c r="D50" s="54"/>
      <c r="E50" s="176"/>
      <c r="F50" s="266"/>
      <c r="G50" s="99"/>
      <c r="H50" s="99"/>
      <c r="I50" s="99"/>
      <c r="J50" s="99"/>
      <c r="K50" s="99"/>
      <c r="L50" s="97"/>
      <c r="M50" s="97"/>
      <c r="N50" s="97"/>
      <c r="O50" s="97"/>
      <c r="P50" s="97"/>
    </row>
    <row r="51" spans="1:16" s="41" customFormat="1" ht="12.75" customHeight="1" x14ac:dyDescent="0.2">
      <c r="A51" s="2"/>
      <c r="B51" s="1"/>
      <c r="C51" s="1"/>
      <c r="D51" s="54"/>
      <c r="E51" s="177"/>
      <c r="F51" s="266"/>
      <c r="G51" s="99"/>
      <c r="H51" s="99"/>
      <c r="I51" s="99"/>
      <c r="J51" s="99"/>
      <c r="K51" s="99"/>
      <c r="L51" s="97"/>
      <c r="M51" s="97"/>
      <c r="N51" s="97"/>
      <c r="O51" s="97"/>
      <c r="P51" s="97"/>
    </row>
    <row r="52" spans="1:16" ht="21" customHeight="1" x14ac:dyDescent="0.2">
      <c r="A52" s="100"/>
      <c r="B52" s="98"/>
      <c r="C52" s="98"/>
      <c r="D52" s="98"/>
      <c r="E52" s="177"/>
      <c r="F52" s="266"/>
      <c r="G52" s="100"/>
      <c r="H52" s="99"/>
      <c r="I52" s="99"/>
      <c r="J52" s="99"/>
      <c r="K52" s="99"/>
      <c r="L52" s="91"/>
      <c r="M52" s="91"/>
      <c r="N52" s="91"/>
      <c r="O52" s="91"/>
      <c r="P52" s="91"/>
    </row>
    <row r="53" spans="1:16" x14ac:dyDescent="0.2">
      <c r="A53" s="2"/>
      <c r="B53" s="1"/>
      <c r="C53" s="1"/>
      <c r="D53" s="98"/>
      <c r="E53" s="178"/>
      <c r="F53" s="266"/>
      <c r="G53" s="100"/>
      <c r="H53" s="98"/>
      <c r="I53" s="98"/>
      <c r="J53" s="98"/>
      <c r="K53" s="98"/>
      <c r="L53" s="91"/>
      <c r="M53" s="91"/>
      <c r="N53" s="91"/>
      <c r="O53" s="91"/>
      <c r="P53" s="91"/>
    </row>
    <row r="54" spans="1:16" ht="12.75" customHeight="1" x14ac:dyDescent="0.2">
      <c r="A54" s="2"/>
      <c r="B54" s="1"/>
      <c r="C54" s="1"/>
      <c r="D54" s="98"/>
      <c r="E54" s="178"/>
      <c r="F54" s="266"/>
      <c r="H54" s="98"/>
      <c r="I54" s="98"/>
      <c r="J54" s="98"/>
      <c r="K54" s="98"/>
      <c r="L54" s="91"/>
      <c r="M54" s="91"/>
      <c r="N54" s="91"/>
      <c r="O54" s="91"/>
      <c r="P54" s="91"/>
    </row>
    <row r="55" spans="1:16" ht="12.75" customHeight="1" x14ac:dyDescent="0.2">
      <c r="A55" s="100"/>
      <c r="B55" s="98"/>
      <c r="C55" s="98"/>
      <c r="E55" s="27"/>
      <c r="F55" s="266"/>
    </row>
    <row r="56" spans="1:16" ht="12.75" customHeight="1" x14ac:dyDescent="0.2">
      <c r="A56" s="56"/>
      <c r="B56" s="56"/>
      <c r="C56" s="56"/>
      <c r="E56" s="27"/>
      <c r="F56" s="266"/>
    </row>
    <row r="57" spans="1:16" x14ac:dyDescent="0.2">
      <c r="E57" s="27"/>
      <c r="F57" s="266"/>
    </row>
    <row r="58" spans="1:16" x14ac:dyDescent="0.2">
      <c r="E58" s="27"/>
      <c r="F58" s="266"/>
    </row>
    <row r="59" spans="1:16" x14ac:dyDescent="0.2">
      <c r="E59" s="27"/>
      <c r="F59" s="266"/>
    </row>
    <row r="60" spans="1:16" x14ac:dyDescent="0.2">
      <c r="E60" s="27"/>
      <c r="F60" s="266"/>
    </row>
    <row r="61" spans="1:16" x14ac:dyDescent="0.2">
      <c r="E61" s="27"/>
      <c r="F61" s="179"/>
    </row>
    <row r="62" spans="1:16" x14ac:dyDescent="0.2">
      <c r="E62" s="180" t="s">
        <v>176</v>
      </c>
      <c r="F62" s="266" t="s">
        <v>162</v>
      </c>
    </row>
    <row r="63" spans="1:16" x14ac:dyDescent="0.2">
      <c r="E63" s="175"/>
      <c r="F63" s="266"/>
    </row>
    <row r="64" spans="1:16" x14ac:dyDescent="0.2">
      <c r="E64" s="27"/>
      <c r="F64" s="266"/>
    </row>
    <row r="65" spans="5:6" x14ac:dyDescent="0.2">
      <c r="E65" s="27"/>
      <c r="F65" s="266"/>
    </row>
    <row r="66" spans="5:6" ht="12.75" customHeight="1" x14ac:dyDescent="0.2">
      <c r="E66" s="27"/>
      <c r="F66" s="266"/>
    </row>
    <row r="67" spans="5:6" x14ac:dyDescent="0.2">
      <c r="E67" s="27"/>
      <c r="F67" s="266"/>
    </row>
    <row r="68" spans="5:6" x14ac:dyDescent="0.2">
      <c r="E68" s="27"/>
      <c r="F68" s="266"/>
    </row>
    <row r="69" spans="5:6" ht="13.5" thickBot="1" x14ac:dyDescent="0.25">
      <c r="E69" s="138"/>
      <c r="F69" s="267"/>
    </row>
    <row r="74" spans="5:6" x14ac:dyDescent="0.2">
      <c r="F74" s="65"/>
    </row>
    <row r="75" spans="5:6" x14ac:dyDescent="0.2">
      <c r="F75" s="65"/>
    </row>
  </sheetData>
  <mergeCells count="19">
    <mergeCell ref="H3:I3"/>
    <mergeCell ref="F41:F60"/>
    <mergeCell ref="I9:I10"/>
    <mergeCell ref="E36:E37"/>
    <mergeCell ref="F5:F6"/>
    <mergeCell ref="F24:F35"/>
    <mergeCell ref="F21:F22"/>
    <mergeCell ref="F36:F39"/>
    <mergeCell ref="E3:F3"/>
    <mergeCell ref="E21:E22"/>
    <mergeCell ref="E19:F19"/>
    <mergeCell ref="A20:C22"/>
    <mergeCell ref="A28:C30"/>
    <mergeCell ref="A24:C26"/>
    <mergeCell ref="A4:C6"/>
    <mergeCell ref="F62:F69"/>
    <mergeCell ref="A16:C18"/>
    <mergeCell ref="A12:C14"/>
    <mergeCell ref="A8:C10"/>
  </mergeCells>
  <hyperlinks>
    <hyperlink ref="D1" location="Home!A5" display="Home"/>
    <hyperlink ref="I9:I10" r:id="rId1" display="https://shop.llg-labware.com/info466_Universal_drying_oven_LLG-uniiOVENi_lang_UK.htm?UID=55005feb15d8000000000000"/>
    <hyperlink ref="I12" r:id="rId2"/>
    <hyperlink ref="I5" r:id="rId3"/>
    <hyperlink ref="I14" r:id="rId4"/>
  </hyperlinks>
  <pageMargins left="0.25" right="0.25" top="0.75" bottom="0.75" header="0.3" footer="0.3"/>
  <pageSetup paperSize="9" scale="46"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
  <sheetViews>
    <sheetView topLeftCell="A4" zoomScale="91" zoomScaleNormal="91" workbookViewId="0">
      <selection activeCell="G45" sqref="G45:I58"/>
    </sheetView>
  </sheetViews>
  <sheetFormatPr defaultRowHeight="12.75" x14ac:dyDescent="0.2"/>
  <cols>
    <col min="3" max="3" width="13.7109375" customWidth="1"/>
    <col min="6" max="6" width="13.5703125" customWidth="1"/>
    <col min="9" max="9" width="26.85546875" customWidth="1"/>
    <col min="15" max="15" width="70.28515625" customWidth="1"/>
  </cols>
  <sheetData>
    <row r="1" spans="1:16" ht="26.25" x14ac:dyDescent="0.4">
      <c r="A1" s="276" t="s">
        <v>210</v>
      </c>
      <c r="B1" s="276"/>
      <c r="C1" s="276"/>
      <c r="D1" s="276"/>
      <c r="E1" s="276"/>
      <c r="F1" s="49" t="s">
        <v>46</v>
      </c>
      <c r="G1" s="2"/>
      <c r="H1" s="1"/>
      <c r="I1" s="1"/>
      <c r="J1" s="1"/>
      <c r="K1" s="1"/>
      <c r="L1" s="56"/>
      <c r="M1" s="56"/>
      <c r="N1" s="56"/>
      <c r="O1" s="56"/>
    </row>
    <row r="2" spans="1:16" x14ac:dyDescent="0.2">
      <c r="A2" s="56"/>
      <c r="B2" s="56"/>
      <c r="C2" s="56"/>
      <c r="D2" s="1"/>
      <c r="E2" s="91"/>
      <c r="F2" s="56"/>
      <c r="G2" s="56"/>
      <c r="H2" s="56"/>
      <c r="I2" s="91"/>
      <c r="J2" s="56"/>
      <c r="K2" s="91"/>
      <c r="L2" s="56"/>
      <c r="M2" s="56"/>
      <c r="N2" s="91"/>
      <c r="O2" s="56"/>
      <c r="P2" s="56"/>
    </row>
    <row r="3" spans="1:16" x14ac:dyDescent="0.2">
      <c r="A3" s="56"/>
      <c r="B3" s="56"/>
      <c r="C3" s="56"/>
      <c r="D3" s="1"/>
      <c r="E3" s="126"/>
      <c r="F3" s="126"/>
      <c r="G3" s="82"/>
      <c r="H3" s="1"/>
      <c r="I3" s="1"/>
      <c r="J3" s="1"/>
      <c r="K3" s="91"/>
      <c r="L3" s="56"/>
      <c r="M3" s="56"/>
      <c r="N3" s="91"/>
      <c r="O3" s="56"/>
      <c r="P3" s="56"/>
    </row>
    <row r="4" spans="1:16" ht="26.25" x14ac:dyDescent="0.4">
      <c r="A4" s="276" t="s">
        <v>143</v>
      </c>
      <c r="B4" s="276"/>
      <c r="C4" s="276"/>
      <c r="D4" s="1"/>
      <c r="E4" s="21"/>
      <c r="F4" s="126"/>
      <c r="G4" s="82"/>
      <c r="H4" s="1"/>
      <c r="I4" s="1"/>
      <c r="J4" s="1"/>
      <c r="K4" s="91"/>
      <c r="L4" s="56"/>
      <c r="M4" s="2"/>
      <c r="N4" s="1"/>
      <c r="O4" s="1"/>
      <c r="P4" s="56"/>
    </row>
    <row r="5" spans="1:16" x14ac:dyDescent="0.2">
      <c r="A5" s="56"/>
      <c r="B5" s="56"/>
      <c r="C5" s="56"/>
      <c r="D5" s="1"/>
      <c r="E5" s="56"/>
      <c r="F5" s="56"/>
      <c r="G5" s="2"/>
      <c r="H5" s="1"/>
      <c r="I5" s="1"/>
      <c r="J5" s="1"/>
      <c r="K5" s="91"/>
      <c r="L5" s="56"/>
      <c r="M5" s="2"/>
      <c r="P5" s="56"/>
    </row>
    <row r="6" spans="1:16" ht="12.75" customHeight="1" x14ac:dyDescent="0.2">
      <c r="A6" s="277" t="s">
        <v>206</v>
      </c>
      <c r="B6" s="256"/>
      <c r="C6" s="278"/>
      <c r="D6" s="29"/>
      <c r="E6" s="148"/>
      <c r="F6" s="148"/>
      <c r="G6" s="28"/>
      <c r="H6" s="29"/>
      <c r="I6" s="29"/>
      <c r="J6" s="29"/>
      <c r="K6" s="91"/>
      <c r="L6" s="56"/>
      <c r="M6" s="2"/>
      <c r="P6" s="56"/>
    </row>
    <row r="7" spans="1:16" ht="12.75" customHeight="1" x14ac:dyDescent="0.2">
      <c r="A7" s="279"/>
      <c r="B7" s="238"/>
      <c r="C7" s="280"/>
      <c r="D7" s="29"/>
      <c r="E7" s="148"/>
      <c r="F7" s="148"/>
      <c r="G7" s="28"/>
      <c r="H7" s="29"/>
      <c r="I7" s="29"/>
      <c r="J7" s="29"/>
      <c r="K7" s="91"/>
      <c r="L7" s="56"/>
      <c r="M7" s="2"/>
      <c r="P7" s="56"/>
    </row>
    <row r="8" spans="1:16" ht="12.75" customHeight="1" x14ac:dyDescent="0.2">
      <c r="A8" s="281"/>
      <c r="B8" s="282"/>
      <c r="C8" s="283"/>
      <c r="D8" s="29"/>
      <c r="E8" s="126"/>
      <c r="F8" s="192"/>
      <c r="G8" s="193"/>
      <c r="H8" s="193"/>
      <c r="I8" s="194"/>
      <c r="J8" s="194"/>
      <c r="K8" s="148"/>
      <c r="L8" s="148"/>
      <c r="M8" s="2"/>
    </row>
    <row r="9" spans="1:16" ht="13.5" thickBot="1" x14ac:dyDescent="0.25">
      <c r="A9" s="56"/>
      <c r="B9" s="56"/>
      <c r="C9" s="56"/>
      <c r="D9" s="29"/>
      <c r="E9" s="126"/>
      <c r="F9" s="200"/>
      <c r="G9" s="201"/>
      <c r="H9" s="201"/>
      <c r="I9" s="202"/>
      <c r="J9" s="202"/>
      <c r="K9" s="122"/>
      <c r="L9" s="122"/>
      <c r="M9" s="56"/>
      <c r="P9" s="91"/>
    </row>
    <row r="10" spans="1:16" ht="18" customHeight="1" x14ac:dyDescent="0.2">
      <c r="A10" s="277" t="s">
        <v>25</v>
      </c>
      <c r="B10" s="256"/>
      <c r="C10" s="278"/>
      <c r="D10" s="29"/>
      <c r="E10" s="148"/>
      <c r="F10" s="284" t="s">
        <v>155</v>
      </c>
      <c r="G10" s="285"/>
      <c r="H10" s="285"/>
      <c r="I10" s="286"/>
      <c r="J10" s="128"/>
      <c r="K10" s="122"/>
      <c r="L10" s="122"/>
      <c r="M10" s="1"/>
      <c r="P10" s="91"/>
    </row>
    <row r="11" spans="1:16" ht="18" customHeight="1" x14ac:dyDescent="0.25">
      <c r="A11" s="279"/>
      <c r="B11" s="238"/>
      <c r="C11" s="280"/>
      <c r="D11" s="29"/>
      <c r="E11" s="195"/>
      <c r="F11" s="155"/>
      <c r="G11" s="157"/>
      <c r="H11" s="122"/>
      <c r="I11" s="184"/>
      <c r="J11" s="204"/>
      <c r="K11" s="205"/>
      <c r="L11" s="205"/>
      <c r="M11" s="82"/>
      <c r="P11" s="91"/>
    </row>
    <row r="12" spans="1:16" ht="12.75" customHeight="1" x14ac:dyDescent="0.2">
      <c r="A12" s="281"/>
      <c r="B12" s="282"/>
      <c r="C12" s="283"/>
      <c r="D12" s="29"/>
      <c r="E12" s="148"/>
      <c r="F12" s="275" t="s">
        <v>211</v>
      </c>
      <c r="G12" s="258" t="s">
        <v>212</v>
      </c>
      <c r="H12" s="258"/>
      <c r="I12" s="266"/>
      <c r="J12" s="203"/>
      <c r="K12" s="205"/>
      <c r="L12" s="206"/>
      <c r="M12" s="82"/>
      <c r="P12" s="91"/>
    </row>
    <row r="13" spans="1:16" x14ac:dyDescent="0.2">
      <c r="A13" s="56"/>
      <c r="B13" s="56"/>
      <c r="C13" s="56"/>
      <c r="D13" s="29"/>
      <c r="E13" s="148"/>
      <c r="F13" s="275"/>
      <c r="G13" s="258"/>
      <c r="H13" s="258"/>
      <c r="I13" s="266"/>
      <c r="J13" s="128"/>
      <c r="K13" s="122"/>
      <c r="L13" s="122"/>
      <c r="M13" s="82"/>
      <c r="P13" s="91"/>
    </row>
    <row r="14" spans="1:16" ht="15.75" customHeight="1" x14ac:dyDescent="0.2">
      <c r="A14" s="277" t="s">
        <v>51</v>
      </c>
      <c r="B14" s="256"/>
      <c r="C14" s="278"/>
      <c r="D14" s="29"/>
      <c r="E14" s="195"/>
      <c r="F14" s="275"/>
      <c r="G14" s="258"/>
      <c r="H14" s="258"/>
      <c r="I14" s="266"/>
      <c r="J14" s="128"/>
      <c r="K14" s="122"/>
      <c r="L14" s="122"/>
      <c r="M14" s="82"/>
      <c r="P14" s="91"/>
    </row>
    <row r="15" spans="1:16" ht="12.75" customHeight="1" x14ac:dyDescent="0.2">
      <c r="A15" s="279"/>
      <c r="B15" s="238"/>
      <c r="C15" s="280"/>
      <c r="D15" s="29"/>
      <c r="E15" s="148"/>
      <c r="F15" s="189"/>
      <c r="G15" s="258"/>
      <c r="H15" s="258"/>
      <c r="I15" s="266"/>
      <c r="J15" s="128"/>
      <c r="K15" s="122"/>
      <c r="L15" s="190"/>
      <c r="M15" s="82"/>
      <c r="P15" s="91"/>
    </row>
    <row r="16" spans="1:16" ht="12.75" customHeight="1" x14ac:dyDescent="0.2">
      <c r="A16" s="281"/>
      <c r="B16" s="282"/>
      <c r="C16" s="283"/>
      <c r="D16" s="29"/>
      <c r="E16" s="148"/>
      <c r="F16" s="189"/>
      <c r="G16" s="258"/>
      <c r="H16" s="258"/>
      <c r="I16" s="266"/>
      <c r="J16" s="128"/>
      <c r="K16" s="122"/>
      <c r="L16" s="190"/>
      <c r="M16" s="82"/>
      <c r="P16" s="91"/>
    </row>
    <row r="17" spans="1:16" ht="23.25" x14ac:dyDescent="0.2">
      <c r="A17" s="188"/>
      <c r="B17" s="188"/>
      <c r="C17" s="188"/>
      <c r="D17" s="29"/>
      <c r="E17" s="148"/>
      <c r="F17" s="189"/>
      <c r="G17" s="258"/>
      <c r="H17" s="258"/>
      <c r="I17" s="266"/>
      <c r="J17" s="128"/>
      <c r="K17" s="122"/>
      <c r="L17" s="190"/>
      <c r="M17" s="82"/>
      <c r="P17" s="91"/>
    </row>
    <row r="18" spans="1:16" ht="12.75" customHeight="1" x14ac:dyDescent="0.2">
      <c r="A18" s="277" t="s">
        <v>61</v>
      </c>
      <c r="B18" s="256"/>
      <c r="C18" s="278"/>
      <c r="D18" s="29"/>
      <c r="E18" s="148"/>
      <c r="F18" s="189"/>
      <c r="G18" s="258"/>
      <c r="H18" s="258"/>
      <c r="I18" s="266"/>
      <c r="J18" s="128"/>
      <c r="K18" s="122"/>
      <c r="L18" s="122"/>
      <c r="M18" s="82"/>
      <c r="N18" s="1"/>
      <c r="O18" s="1"/>
      <c r="P18" s="91"/>
    </row>
    <row r="19" spans="1:16" ht="18" customHeight="1" x14ac:dyDescent="0.25">
      <c r="A19" s="279"/>
      <c r="B19" s="238"/>
      <c r="C19" s="280"/>
      <c r="D19" s="29"/>
      <c r="E19" s="190"/>
      <c r="F19" s="155"/>
      <c r="G19" s="148"/>
      <c r="H19" s="148"/>
      <c r="I19" s="137"/>
      <c r="J19" s="190"/>
      <c r="K19" s="122"/>
      <c r="L19" s="122"/>
      <c r="M19" s="2"/>
      <c r="N19" s="1"/>
      <c r="O19" s="1"/>
      <c r="P19" s="91"/>
    </row>
    <row r="20" spans="1:16" ht="12.75" customHeight="1" x14ac:dyDescent="0.2">
      <c r="A20" s="281"/>
      <c r="B20" s="282"/>
      <c r="C20" s="283"/>
      <c r="D20" s="29"/>
      <c r="E20" s="122"/>
      <c r="F20" s="275" t="s">
        <v>25</v>
      </c>
      <c r="G20" s="258" t="s">
        <v>213</v>
      </c>
      <c r="H20" s="258"/>
      <c r="I20" s="266"/>
      <c r="J20" s="122"/>
      <c r="K20" s="122"/>
      <c r="L20" s="190"/>
      <c r="M20" s="190"/>
      <c r="N20" s="190"/>
      <c r="O20" s="190"/>
      <c r="P20" s="91"/>
    </row>
    <row r="21" spans="1:16" x14ac:dyDescent="0.2">
      <c r="A21" s="56"/>
      <c r="B21" s="56"/>
      <c r="C21" s="56"/>
      <c r="D21" s="29"/>
      <c r="E21" s="122"/>
      <c r="F21" s="275"/>
      <c r="G21" s="258"/>
      <c r="H21" s="258"/>
      <c r="I21" s="266"/>
      <c r="J21" s="122"/>
      <c r="K21" s="122"/>
      <c r="L21" s="190"/>
      <c r="M21" s="190"/>
      <c r="N21" s="190"/>
      <c r="O21" s="190"/>
      <c r="P21" s="91"/>
    </row>
    <row r="22" spans="1:16" ht="12.75" customHeight="1" x14ac:dyDescent="0.2">
      <c r="A22" s="277" t="s">
        <v>207</v>
      </c>
      <c r="B22" s="256"/>
      <c r="C22" s="278"/>
      <c r="D22" s="29"/>
      <c r="E22" s="190"/>
      <c r="F22" s="275"/>
      <c r="G22" s="258"/>
      <c r="H22" s="258"/>
      <c r="I22" s="266"/>
      <c r="J22" s="190"/>
      <c r="K22" s="122"/>
      <c r="L22" s="190"/>
      <c r="M22" s="190"/>
      <c r="N22" s="190"/>
      <c r="O22" s="190"/>
      <c r="P22" s="91"/>
    </row>
    <row r="23" spans="1:16" ht="12.75" customHeight="1" x14ac:dyDescent="0.2">
      <c r="A23" s="279"/>
      <c r="B23" s="238"/>
      <c r="C23" s="280"/>
      <c r="D23" s="29"/>
      <c r="E23" s="190"/>
      <c r="F23" s="275"/>
      <c r="G23" s="258"/>
      <c r="H23" s="258"/>
      <c r="I23" s="266"/>
      <c r="J23" s="190"/>
      <c r="K23" s="122"/>
      <c r="L23" s="190"/>
      <c r="M23" s="190"/>
      <c r="N23" s="190"/>
      <c r="O23" s="190"/>
      <c r="P23" s="91"/>
    </row>
    <row r="24" spans="1:16" ht="12.75" customHeight="1" x14ac:dyDescent="0.2">
      <c r="A24" s="281"/>
      <c r="B24" s="282"/>
      <c r="C24" s="283"/>
      <c r="D24" s="29"/>
      <c r="E24" s="190"/>
      <c r="F24" s="275"/>
      <c r="G24" s="258"/>
      <c r="H24" s="258"/>
      <c r="I24" s="266"/>
      <c r="J24" s="190"/>
      <c r="K24" s="122"/>
      <c r="L24" s="190"/>
      <c r="M24" s="190"/>
      <c r="N24" s="190"/>
      <c r="O24" s="190"/>
      <c r="P24" s="91"/>
    </row>
    <row r="25" spans="1:16" x14ac:dyDescent="0.2">
      <c r="A25" s="56"/>
      <c r="B25" s="56"/>
      <c r="C25" s="56"/>
      <c r="D25" s="29"/>
      <c r="E25" s="190"/>
      <c r="F25" s="189"/>
      <c r="G25" s="258"/>
      <c r="H25" s="258"/>
      <c r="I25" s="266"/>
      <c r="J25" s="190"/>
      <c r="K25" s="122"/>
      <c r="L25" s="122"/>
      <c r="M25" s="122"/>
      <c r="N25" s="122"/>
      <c r="O25" s="122"/>
      <c r="P25" s="91"/>
    </row>
    <row r="26" spans="1:16" ht="12.75" customHeight="1" x14ac:dyDescent="0.2">
      <c r="A26" s="277" t="s">
        <v>208</v>
      </c>
      <c r="B26" s="256"/>
      <c r="C26" s="278"/>
      <c r="D26" s="29"/>
      <c r="E26" s="122"/>
      <c r="F26" s="173"/>
      <c r="G26" s="258"/>
      <c r="H26" s="258"/>
      <c r="I26" s="266"/>
      <c r="J26" s="122"/>
      <c r="K26" s="122"/>
      <c r="L26" s="190"/>
      <c r="M26" s="190"/>
      <c r="N26" s="190"/>
      <c r="O26" s="190"/>
      <c r="P26" s="91"/>
    </row>
    <row r="27" spans="1:16" ht="12.75" customHeight="1" x14ac:dyDescent="0.2">
      <c r="A27" s="279"/>
      <c r="B27" s="238"/>
      <c r="C27" s="280"/>
      <c r="D27" s="29"/>
      <c r="E27" s="122"/>
      <c r="F27" s="130"/>
      <c r="G27" s="258"/>
      <c r="H27" s="258"/>
      <c r="I27" s="266"/>
      <c r="J27" s="122"/>
      <c r="K27" s="122"/>
      <c r="L27" s="190"/>
      <c r="M27" s="190"/>
      <c r="N27" s="190"/>
      <c r="O27" s="190"/>
      <c r="P27" s="91"/>
    </row>
    <row r="28" spans="1:16" ht="12.75" customHeight="1" x14ac:dyDescent="0.2">
      <c r="A28" s="281"/>
      <c r="B28" s="282"/>
      <c r="C28" s="283"/>
      <c r="D28" s="29"/>
      <c r="E28" s="190"/>
      <c r="F28" s="174"/>
      <c r="G28" s="258"/>
      <c r="H28" s="258"/>
      <c r="I28" s="266"/>
      <c r="J28" s="190"/>
      <c r="K28" s="122"/>
      <c r="L28" s="190"/>
      <c r="M28" s="190"/>
      <c r="N28" s="190"/>
      <c r="O28" s="190"/>
      <c r="P28" s="91"/>
    </row>
    <row r="29" spans="1:16" x14ac:dyDescent="0.2">
      <c r="A29" s="56"/>
      <c r="B29" s="56"/>
      <c r="C29" s="56"/>
      <c r="D29" s="29"/>
      <c r="E29" s="190"/>
      <c r="F29" s="174"/>
      <c r="G29" s="148"/>
      <c r="H29" s="148"/>
      <c r="I29" s="137"/>
      <c r="J29" s="190"/>
      <c r="K29" s="122"/>
      <c r="L29" s="122"/>
      <c r="M29" s="122"/>
      <c r="N29" s="122"/>
      <c r="O29" s="122"/>
      <c r="P29" s="91"/>
    </row>
    <row r="30" spans="1:16" ht="12.75" customHeight="1" x14ac:dyDescent="0.2">
      <c r="A30" s="277" t="s">
        <v>209</v>
      </c>
      <c r="B30" s="256"/>
      <c r="C30" s="278"/>
      <c r="D30" s="29"/>
      <c r="E30" s="148"/>
      <c r="F30" s="275" t="s">
        <v>51</v>
      </c>
      <c r="G30" s="258" t="s">
        <v>214</v>
      </c>
      <c r="H30" s="258"/>
      <c r="I30" s="266"/>
      <c r="J30" s="128"/>
      <c r="K30" s="122"/>
      <c r="L30" s="190"/>
      <c r="M30" s="190"/>
      <c r="N30" s="190"/>
      <c r="O30" s="190"/>
      <c r="P30" s="91"/>
    </row>
    <row r="31" spans="1:16" ht="15.75" customHeight="1" x14ac:dyDescent="0.2">
      <c r="A31" s="279"/>
      <c r="B31" s="238"/>
      <c r="C31" s="280"/>
      <c r="D31" s="29"/>
      <c r="E31" s="195"/>
      <c r="F31" s="275"/>
      <c r="G31" s="258"/>
      <c r="H31" s="258"/>
      <c r="I31" s="266"/>
      <c r="J31" s="128"/>
      <c r="K31" s="122"/>
      <c r="L31" s="190"/>
      <c r="M31" s="190"/>
      <c r="N31" s="190"/>
      <c r="O31" s="190"/>
      <c r="P31" s="91"/>
    </row>
    <row r="32" spans="1:16" ht="12.75" customHeight="1" x14ac:dyDescent="0.2">
      <c r="A32" s="281"/>
      <c r="B32" s="282"/>
      <c r="C32" s="283"/>
      <c r="D32" s="29"/>
      <c r="E32" s="148"/>
      <c r="F32" s="275"/>
      <c r="G32" s="258"/>
      <c r="H32" s="258"/>
      <c r="I32" s="266"/>
      <c r="J32" s="203"/>
      <c r="K32" s="122"/>
      <c r="L32" s="190"/>
      <c r="M32" s="190"/>
      <c r="N32" s="190"/>
      <c r="O32" s="190"/>
      <c r="P32" s="91"/>
    </row>
    <row r="33" spans="1:16" x14ac:dyDescent="0.2">
      <c r="A33" s="56"/>
      <c r="B33" s="56"/>
      <c r="C33" s="56"/>
      <c r="D33" s="29"/>
      <c r="E33" s="148"/>
      <c r="F33" s="275"/>
      <c r="G33" s="258"/>
      <c r="H33" s="258"/>
      <c r="I33" s="266"/>
      <c r="J33" s="128"/>
      <c r="K33" s="122"/>
      <c r="L33" s="122"/>
      <c r="M33" s="122"/>
      <c r="N33" s="122"/>
      <c r="O33" s="122"/>
      <c r="P33" s="91"/>
    </row>
    <row r="34" spans="1:16" ht="12.75" customHeight="1" x14ac:dyDescent="0.2">
      <c r="A34" s="277" t="s">
        <v>208</v>
      </c>
      <c r="B34" s="256"/>
      <c r="C34" s="278"/>
      <c r="D34" s="29"/>
      <c r="E34" s="148"/>
      <c r="F34" s="174"/>
      <c r="G34" s="258"/>
      <c r="H34" s="258"/>
      <c r="I34" s="266"/>
      <c r="J34" s="128"/>
      <c r="K34" s="122"/>
      <c r="L34" s="122"/>
      <c r="M34" s="122"/>
      <c r="N34" s="122"/>
      <c r="O34" s="122"/>
      <c r="P34" s="91"/>
    </row>
    <row r="35" spans="1:16" ht="15.75" customHeight="1" x14ac:dyDescent="0.25">
      <c r="A35" s="279"/>
      <c r="B35" s="238"/>
      <c r="C35" s="280"/>
      <c r="D35" s="29"/>
      <c r="E35" s="196"/>
      <c r="F35" s="174"/>
      <c r="G35" s="258"/>
      <c r="H35" s="258"/>
      <c r="I35" s="266"/>
      <c r="J35" s="128"/>
      <c r="K35" s="122"/>
      <c r="L35" s="122"/>
      <c r="M35" s="122"/>
      <c r="N35" s="122"/>
      <c r="O35" s="122"/>
      <c r="P35" s="91"/>
    </row>
    <row r="36" spans="1:16" ht="12.75" customHeight="1" thickBot="1" x14ac:dyDescent="0.25">
      <c r="A36" s="281"/>
      <c r="B36" s="282"/>
      <c r="C36" s="283"/>
      <c r="D36" s="29"/>
      <c r="E36" s="148"/>
      <c r="F36" s="174"/>
      <c r="G36" s="258"/>
      <c r="H36" s="258"/>
      <c r="I36" s="266"/>
      <c r="J36" s="128"/>
      <c r="K36" s="207"/>
      <c r="L36" s="207"/>
      <c r="M36" s="207"/>
      <c r="N36" s="207"/>
      <c r="O36" s="207"/>
      <c r="P36" s="91"/>
    </row>
    <row r="37" spans="1:16" x14ac:dyDescent="0.2">
      <c r="A37" s="56"/>
      <c r="B37" s="56"/>
      <c r="C37" s="56"/>
      <c r="D37" s="1"/>
      <c r="E37" s="148"/>
      <c r="F37" s="174"/>
      <c r="G37" s="258"/>
      <c r="H37" s="258"/>
      <c r="I37" s="266"/>
      <c r="J37" s="128"/>
      <c r="K37" s="287" t="s">
        <v>223</v>
      </c>
      <c r="L37" s="288"/>
      <c r="M37" s="288"/>
      <c r="N37" s="289"/>
      <c r="O37" s="122"/>
      <c r="P37" s="91"/>
    </row>
    <row r="38" spans="1:16" ht="16.5" customHeight="1" x14ac:dyDescent="0.2">
      <c r="A38" s="188"/>
      <c r="B38" s="188"/>
      <c r="C38" s="188"/>
      <c r="D38" s="54"/>
      <c r="E38" s="197"/>
      <c r="F38" s="174"/>
      <c r="G38" s="199"/>
      <c r="H38" s="199"/>
      <c r="I38" s="208"/>
      <c r="J38" s="198"/>
      <c r="K38" s="290"/>
      <c r="L38" s="291"/>
      <c r="M38" s="291"/>
      <c r="N38" s="292"/>
      <c r="O38" s="199"/>
      <c r="P38" s="91"/>
    </row>
    <row r="39" spans="1:16" ht="12.75" customHeight="1" x14ac:dyDescent="0.2">
      <c r="A39" s="188"/>
      <c r="B39" s="188"/>
      <c r="C39" s="188"/>
      <c r="D39" s="54"/>
      <c r="E39" s="197"/>
      <c r="F39" s="275" t="s">
        <v>61</v>
      </c>
      <c r="G39" s="258" t="s">
        <v>220</v>
      </c>
      <c r="H39" s="258"/>
      <c r="I39" s="266"/>
      <c r="J39" s="198"/>
      <c r="K39" s="290"/>
      <c r="L39" s="291"/>
      <c r="M39" s="291"/>
      <c r="N39" s="292"/>
      <c r="O39" s="199"/>
    </row>
    <row r="40" spans="1:16" ht="12.75" customHeight="1" x14ac:dyDescent="0.2">
      <c r="A40" s="188"/>
      <c r="B40" s="188"/>
      <c r="C40" s="188"/>
      <c r="D40" s="98"/>
      <c r="E40" s="197"/>
      <c r="F40" s="275"/>
      <c r="G40" s="258"/>
      <c r="H40" s="258"/>
      <c r="I40" s="266"/>
      <c r="J40" s="210" t="s">
        <v>224</v>
      </c>
      <c r="K40" s="290"/>
      <c r="L40" s="291"/>
      <c r="M40" s="291"/>
      <c r="N40" s="292"/>
      <c r="O40" s="122"/>
    </row>
    <row r="41" spans="1:16" x14ac:dyDescent="0.2">
      <c r="A41" s="56"/>
      <c r="B41" s="56"/>
      <c r="C41" s="56"/>
      <c r="D41" s="98"/>
      <c r="E41" s="191"/>
      <c r="F41" s="174"/>
      <c r="G41" s="258"/>
      <c r="H41" s="258"/>
      <c r="I41" s="266"/>
      <c r="J41" s="98"/>
      <c r="K41" s="290"/>
      <c r="L41" s="291"/>
      <c r="M41" s="291"/>
      <c r="N41" s="292"/>
      <c r="O41" s="91"/>
    </row>
    <row r="42" spans="1:16" x14ac:dyDescent="0.2">
      <c r="A42" s="91"/>
      <c r="B42" s="91"/>
      <c r="C42" s="91"/>
      <c r="D42" s="98"/>
      <c r="E42" s="191"/>
      <c r="F42" s="174"/>
      <c r="G42" s="258"/>
      <c r="H42" s="258"/>
      <c r="I42" s="266"/>
      <c r="J42" s="98"/>
      <c r="K42" s="290"/>
      <c r="L42" s="291"/>
      <c r="M42" s="291"/>
      <c r="N42" s="292"/>
      <c r="O42" s="91"/>
    </row>
    <row r="43" spans="1:16" x14ac:dyDescent="0.2">
      <c r="A43" s="56"/>
      <c r="B43" s="56"/>
      <c r="C43" s="56"/>
      <c r="D43" s="56"/>
      <c r="E43" s="56"/>
      <c r="F43" s="174"/>
      <c r="G43" s="258"/>
      <c r="H43" s="258"/>
      <c r="I43" s="266"/>
      <c r="K43" s="290"/>
      <c r="L43" s="291"/>
      <c r="M43" s="291"/>
      <c r="N43" s="292"/>
    </row>
    <row r="44" spans="1:16" x14ac:dyDescent="0.2">
      <c r="A44" s="56"/>
      <c r="B44" s="56"/>
      <c r="C44" s="56"/>
      <c r="D44" s="56"/>
      <c r="E44" s="56"/>
      <c r="F44" s="130"/>
      <c r="G44" s="148"/>
      <c r="H44" s="148"/>
      <c r="I44" s="137"/>
      <c r="K44" s="290"/>
      <c r="L44" s="291"/>
      <c r="M44" s="291"/>
      <c r="N44" s="292"/>
    </row>
    <row r="45" spans="1:16" ht="12.75" customHeight="1" thickBot="1" x14ac:dyDescent="0.25">
      <c r="A45" s="56"/>
      <c r="B45" s="56"/>
      <c r="C45" s="56"/>
      <c r="D45" s="56"/>
      <c r="E45" s="56"/>
      <c r="F45" s="275" t="s">
        <v>215</v>
      </c>
      <c r="G45" s="258" t="s">
        <v>216</v>
      </c>
      <c r="H45" s="258"/>
      <c r="I45" s="266"/>
      <c r="K45" s="293"/>
      <c r="L45" s="294"/>
      <c r="M45" s="294"/>
      <c r="N45" s="295"/>
    </row>
    <row r="46" spans="1:16" x14ac:dyDescent="0.2">
      <c r="A46" s="56"/>
      <c r="B46" s="56"/>
      <c r="C46" s="56"/>
      <c r="D46" s="56"/>
      <c r="E46" s="56"/>
      <c r="F46" s="275"/>
      <c r="G46" s="258"/>
      <c r="H46" s="258"/>
      <c r="I46" s="266"/>
    </row>
    <row r="47" spans="1:16" x14ac:dyDescent="0.2">
      <c r="A47" s="56"/>
      <c r="B47" s="56"/>
      <c r="C47" s="56"/>
      <c r="D47" s="56"/>
      <c r="E47" s="56"/>
      <c r="F47" s="275"/>
      <c r="G47" s="258"/>
      <c r="H47" s="258"/>
      <c r="I47" s="266"/>
    </row>
    <row r="48" spans="1:16" x14ac:dyDescent="0.2">
      <c r="A48" s="56"/>
      <c r="B48" s="56"/>
      <c r="C48" s="56"/>
      <c r="D48" s="56"/>
      <c r="E48" s="56"/>
      <c r="F48" s="275"/>
      <c r="G48" s="258"/>
      <c r="H48" s="258"/>
      <c r="I48" s="266"/>
    </row>
    <row r="49" spans="1:9" x14ac:dyDescent="0.2">
      <c r="A49" s="56"/>
      <c r="B49" s="56"/>
      <c r="C49" s="56"/>
      <c r="D49" s="56"/>
      <c r="E49" s="56"/>
      <c r="F49" s="174"/>
      <c r="G49" s="258"/>
      <c r="H49" s="258"/>
      <c r="I49" s="266"/>
    </row>
    <row r="50" spans="1:9" x14ac:dyDescent="0.2">
      <c r="A50" s="56"/>
      <c r="B50" s="56"/>
      <c r="C50" s="56"/>
      <c r="D50" s="56"/>
      <c r="E50" s="56"/>
      <c r="F50" s="27"/>
      <c r="G50" s="258"/>
      <c r="H50" s="258"/>
      <c r="I50" s="266"/>
    </row>
    <row r="51" spans="1:9" x14ac:dyDescent="0.2">
      <c r="A51" s="56"/>
      <c r="B51" s="56"/>
      <c r="C51" s="56"/>
      <c r="D51" s="56"/>
      <c r="E51" s="56"/>
      <c r="F51" s="27"/>
      <c r="G51" s="258"/>
      <c r="H51" s="258"/>
      <c r="I51" s="266"/>
    </row>
    <row r="52" spans="1:9" x14ac:dyDescent="0.2">
      <c r="A52" s="56"/>
      <c r="B52" s="56"/>
      <c r="C52" s="56"/>
      <c r="D52" s="56"/>
      <c r="E52" s="56"/>
      <c r="F52" s="27"/>
      <c r="G52" s="258"/>
      <c r="H52" s="258"/>
      <c r="I52" s="266"/>
    </row>
    <row r="53" spans="1:9" s="56" customFormat="1" x14ac:dyDescent="0.2">
      <c r="F53" s="27"/>
      <c r="G53" s="258"/>
      <c r="H53" s="258"/>
      <c r="I53" s="266"/>
    </row>
    <row r="54" spans="1:9" s="56" customFormat="1" x14ac:dyDescent="0.2">
      <c r="F54" s="27"/>
      <c r="G54" s="258"/>
      <c r="H54" s="258"/>
      <c r="I54" s="266"/>
    </row>
    <row r="55" spans="1:9" s="56" customFormat="1" x14ac:dyDescent="0.2">
      <c r="F55" s="27"/>
      <c r="G55" s="258"/>
      <c r="H55" s="258"/>
      <c r="I55" s="266"/>
    </row>
    <row r="56" spans="1:9" x14ac:dyDescent="0.2">
      <c r="A56" s="56"/>
      <c r="B56" s="56"/>
      <c r="C56" s="56"/>
      <c r="D56" s="56"/>
      <c r="E56" s="56"/>
      <c r="F56" s="27"/>
      <c r="G56" s="258"/>
      <c r="H56" s="258"/>
      <c r="I56" s="266"/>
    </row>
    <row r="57" spans="1:9" s="56" customFormat="1" x14ac:dyDescent="0.2">
      <c r="F57" s="27"/>
      <c r="G57" s="258"/>
      <c r="H57" s="258"/>
      <c r="I57" s="266"/>
    </row>
    <row r="58" spans="1:9" s="56" customFormat="1" x14ac:dyDescent="0.2">
      <c r="F58" s="27"/>
      <c r="G58" s="258"/>
      <c r="H58" s="258"/>
      <c r="I58" s="266"/>
    </row>
    <row r="59" spans="1:9" x14ac:dyDescent="0.2">
      <c r="F59" s="27"/>
      <c r="G59" s="148"/>
      <c r="H59" s="148"/>
      <c r="I59" s="137"/>
    </row>
    <row r="60" spans="1:9" x14ac:dyDescent="0.2">
      <c r="F60" s="174"/>
      <c r="G60" s="148"/>
      <c r="H60" s="148"/>
      <c r="I60" s="137"/>
    </row>
    <row r="61" spans="1:9" ht="12.75" customHeight="1" x14ac:dyDescent="0.2">
      <c r="F61" s="275" t="s">
        <v>217</v>
      </c>
      <c r="G61" s="258" t="s">
        <v>218</v>
      </c>
      <c r="H61" s="258"/>
      <c r="I61" s="266"/>
    </row>
    <row r="62" spans="1:9" x14ac:dyDescent="0.2">
      <c r="F62" s="275"/>
      <c r="G62" s="258"/>
      <c r="H62" s="258"/>
      <c r="I62" s="266"/>
    </row>
    <row r="63" spans="1:9" x14ac:dyDescent="0.2">
      <c r="F63" s="275"/>
      <c r="G63" s="258"/>
      <c r="H63" s="258"/>
      <c r="I63" s="266"/>
    </row>
    <row r="64" spans="1:9" x14ac:dyDescent="0.2">
      <c r="F64" s="275"/>
      <c r="G64" s="258"/>
      <c r="H64" s="258"/>
      <c r="I64" s="266"/>
    </row>
    <row r="65" spans="6:9" x14ac:dyDescent="0.2">
      <c r="F65" s="176"/>
      <c r="G65" s="258"/>
      <c r="H65" s="258"/>
      <c r="I65" s="266"/>
    </row>
    <row r="66" spans="6:9" x14ac:dyDescent="0.2">
      <c r="F66" s="177"/>
      <c r="G66" s="258"/>
      <c r="H66" s="258"/>
      <c r="I66" s="266"/>
    </row>
    <row r="67" spans="6:9" x14ac:dyDescent="0.2">
      <c r="F67" s="177"/>
      <c r="G67" s="148"/>
      <c r="H67" s="148"/>
      <c r="I67" s="137"/>
    </row>
    <row r="68" spans="6:9" x14ac:dyDescent="0.2">
      <c r="F68" s="178"/>
      <c r="G68" s="148"/>
      <c r="H68" s="148"/>
      <c r="I68" s="137"/>
    </row>
    <row r="69" spans="6:9" x14ac:dyDescent="0.2">
      <c r="F69" s="275" t="s">
        <v>208</v>
      </c>
      <c r="G69" s="258" t="s">
        <v>219</v>
      </c>
      <c r="H69" s="258"/>
      <c r="I69" s="266"/>
    </row>
    <row r="70" spans="6:9" x14ac:dyDescent="0.2">
      <c r="F70" s="275"/>
      <c r="G70" s="258"/>
      <c r="H70" s="258"/>
      <c r="I70" s="266"/>
    </row>
    <row r="71" spans="6:9" x14ac:dyDescent="0.2">
      <c r="F71" s="275"/>
      <c r="G71" s="258"/>
      <c r="H71" s="258"/>
      <c r="I71" s="266"/>
    </row>
    <row r="72" spans="6:9" x14ac:dyDescent="0.2">
      <c r="F72" s="27"/>
      <c r="G72" s="258"/>
      <c r="H72" s="258"/>
      <c r="I72" s="266"/>
    </row>
    <row r="73" spans="6:9" ht="13.5" thickBot="1" x14ac:dyDescent="0.25">
      <c r="F73" s="209"/>
      <c r="G73" s="296"/>
      <c r="H73" s="296"/>
      <c r="I73" s="267"/>
    </row>
    <row r="74" spans="6:9" x14ac:dyDescent="0.2">
      <c r="F74" s="56"/>
      <c r="G74" s="56"/>
      <c r="H74" s="56"/>
      <c r="I74" s="56"/>
    </row>
    <row r="75" spans="6:9" x14ac:dyDescent="0.2">
      <c r="F75" s="56"/>
      <c r="G75" s="56"/>
      <c r="H75" s="56"/>
      <c r="I75" s="56"/>
    </row>
    <row r="76" spans="6:9" x14ac:dyDescent="0.2">
      <c r="F76" s="56"/>
      <c r="G76" s="56"/>
      <c r="H76" s="56"/>
      <c r="I76" s="56"/>
    </row>
    <row r="77" spans="6:9" x14ac:dyDescent="0.2">
      <c r="F77" s="56"/>
      <c r="G77" s="56"/>
      <c r="H77" s="56"/>
      <c r="I77" s="56"/>
    </row>
    <row r="78" spans="6:9" x14ac:dyDescent="0.2">
      <c r="F78" s="56"/>
      <c r="G78" s="56"/>
      <c r="H78" s="56"/>
      <c r="I78" s="56"/>
    </row>
    <row r="79" spans="6:9" x14ac:dyDescent="0.2">
      <c r="F79" s="56"/>
      <c r="G79" s="56"/>
      <c r="H79" s="56"/>
      <c r="I79" s="56"/>
    </row>
    <row r="80" spans="6:9" x14ac:dyDescent="0.2">
      <c r="F80" s="56"/>
      <c r="G80" s="56"/>
      <c r="H80" s="56"/>
      <c r="I80" s="56"/>
    </row>
    <row r="81" spans="6:9" x14ac:dyDescent="0.2">
      <c r="F81" s="56"/>
      <c r="G81" s="56"/>
      <c r="H81" s="56"/>
      <c r="I81" s="56"/>
    </row>
    <row r="82" spans="6:9" x14ac:dyDescent="0.2">
      <c r="F82" s="56"/>
      <c r="G82" s="56"/>
      <c r="H82" s="56"/>
      <c r="I82" s="56"/>
    </row>
    <row r="83" spans="6:9" x14ac:dyDescent="0.2">
      <c r="F83" s="56"/>
      <c r="G83" s="56"/>
      <c r="H83" s="56"/>
      <c r="I83" s="56"/>
    </row>
    <row r="84" spans="6:9" x14ac:dyDescent="0.2">
      <c r="F84" s="56"/>
      <c r="G84" s="56"/>
      <c r="H84" s="56"/>
      <c r="I84" s="56"/>
    </row>
    <row r="85" spans="6:9" x14ac:dyDescent="0.2">
      <c r="F85" s="56"/>
      <c r="G85" s="56"/>
      <c r="H85" s="56"/>
      <c r="I85" s="56"/>
    </row>
    <row r="86" spans="6:9" x14ac:dyDescent="0.2">
      <c r="F86" s="56"/>
      <c r="G86" s="56"/>
      <c r="H86" s="56"/>
      <c r="I86" s="56"/>
    </row>
    <row r="87" spans="6:9" x14ac:dyDescent="0.2">
      <c r="F87" s="56"/>
      <c r="G87" s="56"/>
      <c r="H87" s="56"/>
      <c r="I87" s="56"/>
    </row>
    <row r="88" spans="6:9" x14ac:dyDescent="0.2">
      <c r="F88" s="56"/>
      <c r="G88" s="56"/>
      <c r="H88" s="56"/>
      <c r="I88" s="56"/>
    </row>
    <row r="89" spans="6:9" x14ac:dyDescent="0.2">
      <c r="F89" s="56"/>
      <c r="G89" s="56"/>
      <c r="H89" s="56"/>
      <c r="I89" s="56"/>
    </row>
    <row r="90" spans="6:9" x14ac:dyDescent="0.2">
      <c r="F90" s="56"/>
      <c r="G90" s="56"/>
      <c r="H90" s="56"/>
      <c r="I90" s="56"/>
    </row>
    <row r="91" spans="6:9" x14ac:dyDescent="0.2">
      <c r="F91" s="56"/>
      <c r="G91" s="56"/>
      <c r="H91" s="56"/>
      <c r="I91" s="56"/>
    </row>
    <row r="92" spans="6:9" x14ac:dyDescent="0.2">
      <c r="F92" s="56"/>
      <c r="G92" s="56"/>
      <c r="H92" s="56"/>
      <c r="I92" s="56"/>
    </row>
    <row r="93" spans="6:9" x14ac:dyDescent="0.2">
      <c r="F93" s="56"/>
      <c r="G93" s="56"/>
      <c r="H93" s="56"/>
      <c r="I93" s="56"/>
    </row>
    <row r="94" spans="6:9" x14ac:dyDescent="0.2">
      <c r="F94" s="56"/>
      <c r="G94" s="56"/>
      <c r="H94" s="56"/>
      <c r="I94" s="56"/>
    </row>
    <row r="95" spans="6:9" x14ac:dyDescent="0.2">
      <c r="F95" s="56"/>
      <c r="G95" s="56"/>
      <c r="H95" s="56"/>
      <c r="I95" s="56"/>
    </row>
    <row r="96" spans="6:9" x14ac:dyDescent="0.2">
      <c r="F96" s="56"/>
      <c r="G96" s="56"/>
      <c r="H96" s="56"/>
      <c r="I96" s="56"/>
    </row>
    <row r="97" spans="6:9" x14ac:dyDescent="0.2">
      <c r="F97" s="56"/>
      <c r="G97" s="56"/>
      <c r="H97" s="56"/>
      <c r="I97" s="56"/>
    </row>
    <row r="98" spans="6:9" x14ac:dyDescent="0.2">
      <c r="F98" s="56"/>
      <c r="G98" s="56"/>
      <c r="H98" s="56"/>
      <c r="I98" s="56"/>
    </row>
    <row r="99" spans="6:9" x14ac:dyDescent="0.2">
      <c r="F99" s="56"/>
      <c r="G99" s="56"/>
      <c r="H99" s="56"/>
      <c r="I99" s="56"/>
    </row>
    <row r="100" spans="6:9" x14ac:dyDescent="0.2">
      <c r="F100" s="56"/>
      <c r="G100" s="56"/>
      <c r="H100" s="56"/>
      <c r="I100" s="56"/>
    </row>
    <row r="101" spans="6:9" x14ac:dyDescent="0.2">
      <c r="F101" s="56"/>
      <c r="G101" s="56"/>
      <c r="H101" s="56"/>
      <c r="I101" s="56"/>
    </row>
    <row r="102" spans="6:9" x14ac:dyDescent="0.2">
      <c r="F102" s="56"/>
      <c r="G102" s="56"/>
      <c r="H102" s="56"/>
      <c r="I102" s="56"/>
    </row>
    <row r="103" spans="6:9" x14ac:dyDescent="0.2">
      <c r="F103" s="56"/>
      <c r="G103" s="56"/>
      <c r="H103" s="56"/>
      <c r="I103" s="56"/>
    </row>
    <row r="104" spans="6:9" x14ac:dyDescent="0.2">
      <c r="F104" s="56"/>
      <c r="G104" s="56"/>
      <c r="H104" s="56"/>
      <c r="I104" s="56"/>
    </row>
    <row r="105" spans="6:9" x14ac:dyDescent="0.2">
      <c r="F105" s="56"/>
      <c r="G105" s="56"/>
      <c r="H105" s="56"/>
      <c r="I105" s="56"/>
    </row>
    <row r="106" spans="6:9" x14ac:dyDescent="0.2">
      <c r="F106" s="56"/>
      <c r="G106" s="56"/>
      <c r="H106" s="56"/>
      <c r="I106" s="56"/>
    </row>
    <row r="107" spans="6:9" x14ac:dyDescent="0.2">
      <c r="F107" s="56"/>
      <c r="G107" s="56"/>
      <c r="H107" s="56"/>
      <c r="I107" s="56"/>
    </row>
  </sheetData>
  <mergeCells count="26">
    <mergeCell ref="A26:C28"/>
    <mergeCell ref="G30:I37"/>
    <mergeCell ref="F12:F14"/>
    <mergeCell ref="K37:N45"/>
    <mergeCell ref="F69:F71"/>
    <mergeCell ref="F61:F64"/>
    <mergeCell ref="F45:F48"/>
    <mergeCell ref="G69:I73"/>
    <mergeCell ref="G61:I66"/>
    <mergeCell ref="G39:I43"/>
    <mergeCell ref="F20:F24"/>
    <mergeCell ref="G45:I58"/>
    <mergeCell ref="F39:F40"/>
    <mergeCell ref="A1:E1"/>
    <mergeCell ref="A30:C32"/>
    <mergeCell ref="A34:C36"/>
    <mergeCell ref="F10:I10"/>
    <mergeCell ref="A6:C8"/>
    <mergeCell ref="A4:C4"/>
    <mergeCell ref="G12:I18"/>
    <mergeCell ref="G20:I28"/>
    <mergeCell ref="A10:C12"/>
    <mergeCell ref="A14:C16"/>
    <mergeCell ref="A18:C20"/>
    <mergeCell ref="A22:C24"/>
    <mergeCell ref="F30:F33"/>
  </mergeCells>
  <conditionalFormatting sqref="F12:J12">
    <cfRule type="cellIs" dxfId="0" priority="3" stopIfTrue="1" operator="between">
      <formula>800</formula>
      <formula>5990</formula>
    </cfRule>
  </conditionalFormatting>
  <hyperlinks>
    <hyperlink ref="F1" location="Home!A1" display="Hom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4"/>
  <sheetViews>
    <sheetView topLeftCell="A73" zoomScaleNormal="100" workbookViewId="0">
      <selection activeCell="M16" sqref="M16"/>
    </sheetView>
  </sheetViews>
  <sheetFormatPr defaultColWidth="11.5703125" defaultRowHeight="12.75" x14ac:dyDescent="0.2"/>
  <cols>
    <col min="1" max="3" width="11.5703125" style="56"/>
    <col min="4" max="4" width="5.7109375" style="1" customWidth="1"/>
    <col min="5" max="5" width="18.28515625" style="56" customWidth="1"/>
    <col min="6" max="6" width="15.5703125" style="56" customWidth="1"/>
    <col min="7" max="7" width="17.42578125" style="2" customWidth="1"/>
    <col min="8" max="8" width="23" style="1" customWidth="1"/>
    <col min="9" max="9" width="19" style="1" customWidth="1"/>
    <col min="10" max="10" width="18.42578125" style="1" customWidth="1"/>
    <col min="11" max="12" width="11.5703125" style="56" customWidth="1"/>
    <col min="13" max="13" width="11.5703125" style="56"/>
    <col min="14" max="14" width="28.5703125" style="56" customWidth="1"/>
    <col min="15" max="15" width="45.42578125" style="56" customWidth="1"/>
    <col min="16" max="17" width="11.5703125" style="56"/>
    <col min="18" max="18" width="18.28515625" style="56" customWidth="1"/>
    <col min="19" max="19" width="53.7109375" style="56" customWidth="1"/>
    <col min="20" max="16384" width="11.5703125" style="56"/>
  </cols>
  <sheetData>
    <row r="1" spans="1:19" x14ac:dyDescent="0.2">
      <c r="A1" s="70"/>
    </row>
    <row r="2" spans="1:19" ht="30.75" customHeight="1" thickBot="1" x14ac:dyDescent="0.25">
      <c r="B2" s="297" t="s">
        <v>202</v>
      </c>
      <c r="C2" s="297"/>
      <c r="D2" s="297"/>
      <c r="E2" s="297"/>
      <c r="F2" s="297"/>
      <c r="H2" s="158" t="s">
        <v>46</v>
      </c>
      <c r="I2" s="181"/>
    </row>
    <row r="3" spans="1:19" ht="19.5" customHeight="1" x14ac:dyDescent="0.25">
      <c r="B3" s="115"/>
      <c r="E3" s="26"/>
      <c r="F3" s="3"/>
      <c r="I3" s="49"/>
      <c r="N3" s="268" t="s">
        <v>160</v>
      </c>
      <c r="O3" s="269"/>
      <c r="R3" s="268" t="s">
        <v>163</v>
      </c>
      <c r="S3" s="269"/>
    </row>
    <row r="4" spans="1:19" ht="18" x14ac:dyDescent="0.25">
      <c r="N4" s="155"/>
      <c r="O4" s="156"/>
      <c r="R4" s="155"/>
      <c r="S4" s="156"/>
    </row>
    <row r="5" spans="1:19" x14ac:dyDescent="0.2">
      <c r="E5" s="53"/>
      <c r="F5" s="81"/>
      <c r="G5" s="82"/>
      <c r="H5" s="299" t="s">
        <v>205</v>
      </c>
      <c r="I5" s="299"/>
      <c r="J5" s="299"/>
      <c r="K5" s="299"/>
      <c r="N5" s="310" t="s">
        <v>173</v>
      </c>
      <c r="O5" s="309" t="s">
        <v>228</v>
      </c>
      <c r="R5" s="152" t="s">
        <v>164</v>
      </c>
      <c r="S5" s="167" t="s">
        <v>171</v>
      </c>
    </row>
    <row r="6" spans="1:19" x14ac:dyDescent="0.2">
      <c r="E6" s="21"/>
      <c r="F6" s="126"/>
      <c r="H6" s="299"/>
      <c r="I6" s="299"/>
      <c r="J6" s="299"/>
      <c r="K6" s="299"/>
      <c r="N6" s="310"/>
      <c r="O6" s="309"/>
      <c r="R6" s="152"/>
      <c r="S6" s="168"/>
    </row>
    <row r="7" spans="1:19" x14ac:dyDescent="0.2">
      <c r="N7" s="27"/>
      <c r="O7" s="137"/>
      <c r="R7" s="152" t="s">
        <v>165</v>
      </c>
      <c r="S7" s="167" t="s">
        <v>150</v>
      </c>
    </row>
    <row r="8" spans="1:19" ht="30.75" customHeight="1" x14ac:dyDescent="0.2">
      <c r="H8" s="299" t="s">
        <v>172</v>
      </c>
      <c r="I8" s="299"/>
      <c r="J8" s="299"/>
      <c r="K8" s="299"/>
      <c r="N8" s="216" t="s">
        <v>186</v>
      </c>
      <c r="O8" s="325" t="s">
        <v>187</v>
      </c>
      <c r="R8" s="166"/>
      <c r="S8" s="169"/>
    </row>
    <row r="9" spans="1:19" ht="12.75" customHeight="1" x14ac:dyDescent="0.2">
      <c r="E9" s="53"/>
      <c r="F9" s="81"/>
      <c r="G9" s="82"/>
      <c r="H9" s="148"/>
      <c r="I9" s="148"/>
      <c r="J9" s="56"/>
      <c r="K9" s="148"/>
      <c r="N9" s="153"/>
      <c r="O9" s="154"/>
      <c r="R9" s="152" t="s">
        <v>166</v>
      </c>
      <c r="S9" s="270" t="s">
        <v>169</v>
      </c>
    </row>
    <row r="10" spans="1:19" ht="12.75" customHeight="1" x14ac:dyDescent="0.2">
      <c r="E10" s="21"/>
      <c r="F10" s="126"/>
      <c r="K10" s="148"/>
      <c r="N10" s="311" t="s">
        <v>229</v>
      </c>
      <c r="O10" s="328" t="s">
        <v>188</v>
      </c>
      <c r="R10" s="166"/>
      <c r="S10" s="270"/>
    </row>
    <row r="11" spans="1:19" ht="13.5" thickBot="1" x14ac:dyDescent="0.25">
      <c r="E11" s="53"/>
      <c r="F11" s="81"/>
      <c r="G11" s="82"/>
      <c r="K11" s="148"/>
      <c r="N11" s="312"/>
      <c r="O11" s="329"/>
      <c r="R11" s="27"/>
      <c r="S11" s="137"/>
    </row>
    <row r="12" spans="1:19" x14ac:dyDescent="0.2">
      <c r="E12" s="21"/>
      <c r="F12" s="126"/>
      <c r="K12" s="148"/>
      <c r="L12" s="148"/>
      <c r="R12" s="165" t="s">
        <v>167</v>
      </c>
      <c r="S12" s="170" t="s">
        <v>170</v>
      </c>
    </row>
    <row r="13" spans="1:19" x14ac:dyDescent="0.2">
      <c r="K13" s="148"/>
      <c r="L13" s="148"/>
      <c r="M13" s="136"/>
      <c r="P13" s="113"/>
      <c r="R13" s="165"/>
      <c r="S13" s="171"/>
    </row>
    <row r="14" spans="1:19" ht="15" customHeight="1" x14ac:dyDescent="0.2">
      <c r="A14" s="253" t="s">
        <v>0</v>
      </c>
      <c r="B14" s="253"/>
      <c r="C14" s="253"/>
      <c r="J14" s="97"/>
      <c r="K14" s="148"/>
      <c r="L14" s="148"/>
      <c r="O14" s="113"/>
      <c r="P14" s="113"/>
      <c r="R14" s="165" t="s">
        <v>168</v>
      </c>
      <c r="S14" s="170" t="s">
        <v>137</v>
      </c>
    </row>
    <row r="15" spans="1:19" ht="15" customHeight="1" thickBot="1" x14ac:dyDescent="0.25">
      <c r="A15" s="253"/>
      <c r="B15" s="253"/>
      <c r="C15" s="253"/>
      <c r="F15" s="183"/>
      <c r="G15" s="183"/>
      <c r="H15" s="183"/>
      <c r="I15" s="183"/>
      <c r="J15" s="97"/>
      <c r="R15" s="163"/>
      <c r="S15" s="164"/>
    </row>
    <row r="16" spans="1:19" ht="15" customHeight="1" x14ac:dyDescent="0.2">
      <c r="A16" s="253"/>
      <c r="B16" s="253"/>
      <c r="C16" s="253"/>
      <c r="E16" s="116"/>
      <c r="F16" s="284" t="s">
        <v>155</v>
      </c>
      <c r="G16" s="285"/>
      <c r="H16" s="285"/>
      <c r="I16" s="286"/>
      <c r="J16" s="91"/>
      <c r="K16" s="116"/>
      <c r="L16" s="122"/>
      <c r="M16" s="116"/>
      <c r="N16" s="122"/>
    </row>
    <row r="17" spans="1:23" ht="15" customHeight="1" x14ac:dyDescent="0.25">
      <c r="A17" s="86"/>
      <c r="B17" s="86"/>
      <c r="C17" s="86"/>
      <c r="E17" s="116"/>
      <c r="F17" s="155"/>
      <c r="G17" s="157"/>
      <c r="H17" s="122"/>
      <c r="I17" s="184"/>
      <c r="J17" s="91"/>
      <c r="K17" s="116"/>
      <c r="L17" s="122"/>
      <c r="M17" s="116"/>
      <c r="N17" s="122"/>
    </row>
    <row r="18" spans="1:23" ht="15" customHeight="1" x14ac:dyDescent="0.2">
      <c r="A18" s="234" t="s">
        <v>138</v>
      </c>
      <c r="B18" s="235"/>
      <c r="C18" s="236"/>
      <c r="E18" s="122"/>
      <c r="F18" s="271" t="s">
        <v>175</v>
      </c>
      <c r="G18" s="258" t="s">
        <v>181</v>
      </c>
      <c r="H18" s="258"/>
      <c r="I18" s="266"/>
      <c r="J18" s="56"/>
      <c r="K18" s="122"/>
      <c r="L18" s="122"/>
      <c r="M18" s="122"/>
      <c r="N18" s="122"/>
      <c r="P18" s="122"/>
      <c r="Q18" s="122"/>
      <c r="R18" s="122"/>
      <c r="S18" s="122"/>
      <c r="T18" s="122"/>
      <c r="U18" s="122"/>
      <c r="V18" s="122"/>
      <c r="W18" s="122"/>
    </row>
    <row r="19" spans="1:23" ht="15" customHeight="1" x14ac:dyDescent="0.2">
      <c r="A19" s="237"/>
      <c r="B19" s="238"/>
      <c r="C19" s="239"/>
      <c r="E19" s="116"/>
      <c r="F19" s="271"/>
      <c r="G19" s="258"/>
      <c r="H19" s="258"/>
      <c r="I19" s="266"/>
      <c r="J19" s="56"/>
      <c r="K19" s="116"/>
      <c r="L19" s="122"/>
      <c r="M19" s="116"/>
      <c r="N19" s="122"/>
      <c r="P19" s="122"/>
      <c r="Q19" s="122"/>
      <c r="R19" s="122"/>
      <c r="S19" s="122"/>
      <c r="T19" s="122"/>
      <c r="U19" s="122"/>
      <c r="V19" s="122"/>
      <c r="W19" s="122"/>
    </row>
    <row r="20" spans="1:23" ht="15" customHeight="1" x14ac:dyDescent="0.2">
      <c r="A20" s="240"/>
      <c r="B20" s="241"/>
      <c r="C20" s="242"/>
      <c r="D20" s="57"/>
      <c r="E20" s="116"/>
      <c r="F20" s="185"/>
      <c r="G20" s="258"/>
      <c r="H20" s="258"/>
      <c r="I20" s="266"/>
      <c r="J20" s="56"/>
      <c r="K20" s="116"/>
      <c r="L20" s="122"/>
      <c r="M20" s="116"/>
      <c r="N20" s="122"/>
      <c r="P20" s="29"/>
      <c r="Q20" s="29"/>
      <c r="R20" s="122"/>
      <c r="S20" s="122"/>
      <c r="T20" s="122"/>
      <c r="U20" s="122"/>
      <c r="V20" s="122"/>
      <c r="W20" s="122"/>
    </row>
    <row r="21" spans="1:23" ht="15" customHeight="1" x14ac:dyDescent="0.2">
      <c r="E21" s="116"/>
      <c r="F21" s="185"/>
      <c r="G21" s="258"/>
      <c r="H21" s="258"/>
      <c r="I21" s="266"/>
      <c r="J21" s="56"/>
      <c r="K21" s="116"/>
      <c r="L21" s="122"/>
      <c r="M21" s="116"/>
      <c r="N21" s="122"/>
      <c r="O21" s="122"/>
      <c r="P21" s="148"/>
      <c r="Q21" s="148"/>
      <c r="R21" s="122"/>
      <c r="S21" s="122"/>
      <c r="T21" s="122"/>
      <c r="U21" s="122"/>
      <c r="V21" s="122"/>
      <c r="W21" s="122"/>
    </row>
    <row r="22" spans="1:23" ht="15" customHeight="1" x14ac:dyDescent="0.2">
      <c r="A22" s="234" t="s">
        <v>174</v>
      </c>
      <c r="B22" s="235"/>
      <c r="C22" s="236"/>
      <c r="E22" s="116"/>
      <c r="F22" s="185"/>
      <c r="G22" s="258"/>
      <c r="H22" s="258"/>
      <c r="I22" s="266"/>
      <c r="J22" s="56"/>
      <c r="K22" s="116"/>
      <c r="L22" s="122"/>
      <c r="M22" s="116"/>
      <c r="N22" s="122"/>
      <c r="O22" s="127"/>
      <c r="P22" s="148"/>
      <c r="Q22" s="148"/>
      <c r="R22" s="122"/>
      <c r="S22" s="122"/>
      <c r="T22" s="122"/>
      <c r="U22" s="122"/>
      <c r="V22" s="122"/>
      <c r="W22" s="122"/>
    </row>
    <row r="23" spans="1:23" ht="15" customHeight="1" x14ac:dyDescent="0.2">
      <c r="A23" s="237"/>
      <c r="B23" s="238"/>
      <c r="C23" s="239"/>
      <c r="E23" s="116"/>
      <c r="F23" s="185"/>
      <c r="G23" s="258"/>
      <c r="H23" s="258"/>
      <c r="I23" s="266"/>
      <c r="J23" s="56"/>
      <c r="K23" s="116"/>
      <c r="L23" s="122"/>
      <c r="M23" s="116"/>
      <c r="N23" s="122"/>
      <c r="O23" s="127"/>
      <c r="P23" s="148"/>
      <c r="Q23" s="148"/>
      <c r="R23" s="122"/>
      <c r="S23" s="122"/>
      <c r="T23" s="122"/>
      <c r="U23" s="122"/>
      <c r="V23" s="122"/>
      <c r="W23" s="122"/>
    </row>
    <row r="24" spans="1:23" ht="15" customHeight="1" x14ac:dyDescent="0.2">
      <c r="A24" s="240"/>
      <c r="B24" s="241"/>
      <c r="C24" s="242"/>
      <c r="D24" s="57"/>
      <c r="E24" s="122"/>
      <c r="F24" s="185"/>
      <c r="G24" s="258"/>
      <c r="H24" s="258"/>
      <c r="I24" s="266"/>
      <c r="J24" s="56"/>
      <c r="K24" s="122"/>
      <c r="L24" s="122"/>
      <c r="M24" s="122"/>
      <c r="N24" s="122"/>
      <c r="O24" s="127"/>
      <c r="P24" s="148"/>
      <c r="Q24" s="148"/>
      <c r="R24" s="116"/>
      <c r="S24" s="116"/>
      <c r="T24" s="116"/>
      <c r="U24" s="122"/>
      <c r="V24" s="122"/>
      <c r="W24" s="122"/>
    </row>
    <row r="25" spans="1:23" ht="15" customHeight="1" x14ac:dyDescent="0.25">
      <c r="D25" s="29"/>
      <c r="E25" s="116"/>
      <c r="F25" s="155"/>
      <c r="G25" s="148"/>
      <c r="H25" s="148"/>
      <c r="I25" s="137"/>
      <c r="J25" s="97"/>
      <c r="K25" s="116"/>
      <c r="L25" s="122"/>
      <c r="M25" s="116"/>
      <c r="N25" s="122"/>
      <c r="O25" s="122"/>
      <c r="P25" s="122"/>
      <c r="Q25" s="116"/>
      <c r="R25" s="116"/>
      <c r="S25" s="116"/>
      <c r="T25" s="116"/>
      <c r="U25" s="122"/>
      <c r="V25" s="122"/>
      <c r="W25" s="122"/>
    </row>
    <row r="26" spans="1:23" ht="15" customHeight="1" x14ac:dyDescent="0.2">
      <c r="A26" s="234" t="s">
        <v>9</v>
      </c>
      <c r="B26" s="235"/>
      <c r="C26" s="236"/>
      <c r="E26" s="116"/>
      <c r="F26" s="308" t="s">
        <v>138</v>
      </c>
      <c r="G26" s="258" t="s">
        <v>227</v>
      </c>
      <c r="H26" s="258"/>
      <c r="I26" s="266"/>
      <c r="J26" s="298" t="s">
        <v>178</v>
      </c>
      <c r="N26" s="122"/>
      <c r="O26" s="116"/>
      <c r="P26" s="122"/>
      <c r="Q26" s="116"/>
      <c r="R26" s="116"/>
      <c r="S26" s="116"/>
      <c r="T26" s="116"/>
      <c r="U26" s="122"/>
      <c r="V26" s="122"/>
      <c r="W26" s="122"/>
    </row>
    <row r="27" spans="1:23" ht="15" customHeight="1" x14ac:dyDescent="0.2">
      <c r="A27" s="237"/>
      <c r="B27" s="238"/>
      <c r="C27" s="239"/>
      <c r="E27" s="116"/>
      <c r="F27" s="308"/>
      <c r="G27" s="258"/>
      <c r="H27" s="258"/>
      <c r="I27" s="266"/>
      <c r="J27" s="298"/>
      <c r="N27" s="122"/>
      <c r="O27" s="116"/>
      <c r="P27" s="122"/>
      <c r="Q27" s="122"/>
      <c r="R27" s="122"/>
      <c r="S27" s="122"/>
      <c r="T27" s="122"/>
      <c r="U27" s="122"/>
      <c r="V27" s="122"/>
      <c r="W27" s="122"/>
    </row>
    <row r="28" spans="1:23" ht="15" customHeight="1" x14ac:dyDescent="0.2">
      <c r="A28" s="240"/>
      <c r="B28" s="241"/>
      <c r="C28" s="242"/>
      <c r="E28" s="116"/>
      <c r="F28" s="185"/>
      <c r="G28" s="258"/>
      <c r="H28" s="258"/>
      <c r="I28" s="266"/>
      <c r="N28" s="122"/>
      <c r="O28" s="116"/>
      <c r="P28" s="122"/>
      <c r="Q28" s="122"/>
      <c r="R28" s="122"/>
      <c r="S28" s="122"/>
      <c r="T28" s="122"/>
      <c r="U28" s="122"/>
      <c r="V28" s="122"/>
      <c r="W28" s="122"/>
    </row>
    <row r="29" spans="1:23" ht="15" customHeight="1" x14ac:dyDescent="0.2">
      <c r="A29" s="147"/>
      <c r="B29" s="147"/>
      <c r="C29" s="147"/>
      <c r="E29" s="116"/>
      <c r="F29" s="185"/>
      <c r="G29" s="258"/>
      <c r="H29" s="258"/>
      <c r="I29" s="266"/>
      <c r="J29" s="56"/>
      <c r="N29" s="122"/>
      <c r="O29" s="116"/>
      <c r="P29" s="122"/>
      <c r="Q29" s="122"/>
      <c r="R29" s="122"/>
      <c r="S29" s="122"/>
      <c r="T29" s="122"/>
      <c r="U29" s="122"/>
      <c r="V29" s="122"/>
      <c r="W29" s="122"/>
    </row>
    <row r="30" spans="1:23" ht="15" customHeight="1" x14ac:dyDescent="0.2">
      <c r="A30" s="234" t="s">
        <v>51</v>
      </c>
      <c r="B30" s="235"/>
      <c r="C30" s="236"/>
      <c r="D30" s="57"/>
      <c r="E30" s="122"/>
      <c r="F30" s="185"/>
      <c r="G30" s="258"/>
      <c r="H30" s="258"/>
      <c r="I30" s="266"/>
      <c r="J30" s="298" t="s">
        <v>177</v>
      </c>
      <c r="N30" s="122"/>
      <c r="O30" s="116"/>
      <c r="P30" s="122"/>
      <c r="Q30" s="122"/>
      <c r="R30" s="122"/>
      <c r="S30" s="122"/>
      <c r="T30" s="122"/>
      <c r="U30" s="122"/>
      <c r="V30" s="122"/>
      <c r="W30" s="122"/>
    </row>
    <row r="31" spans="1:23" ht="15" customHeight="1" x14ac:dyDescent="0.2">
      <c r="A31" s="237"/>
      <c r="B31" s="238"/>
      <c r="C31" s="239"/>
      <c r="E31" s="116"/>
      <c r="F31" s="185"/>
      <c r="G31" s="258"/>
      <c r="H31" s="258"/>
      <c r="I31" s="266"/>
      <c r="J31" s="298"/>
      <c r="N31" s="122"/>
      <c r="O31" s="122"/>
      <c r="P31" s="122"/>
      <c r="Q31" s="122"/>
      <c r="R31" s="122"/>
      <c r="S31" s="122"/>
      <c r="T31" s="122"/>
      <c r="U31" s="122"/>
      <c r="V31" s="122"/>
      <c r="W31" s="122"/>
    </row>
    <row r="32" spans="1:23" ht="15" customHeight="1" x14ac:dyDescent="0.2">
      <c r="A32" s="240"/>
      <c r="B32" s="241"/>
      <c r="C32" s="242"/>
      <c r="E32" s="116"/>
      <c r="F32" s="173"/>
      <c r="G32" s="258"/>
      <c r="H32" s="258"/>
      <c r="I32" s="266"/>
      <c r="J32" s="56"/>
      <c r="K32" s="116"/>
      <c r="L32" s="122"/>
      <c r="M32" s="116"/>
      <c r="N32" s="122"/>
      <c r="O32" s="116"/>
      <c r="P32" s="122"/>
      <c r="Q32" s="122"/>
      <c r="R32" s="122"/>
      <c r="S32" s="122"/>
      <c r="T32" s="122"/>
      <c r="U32" s="122"/>
      <c r="V32" s="122"/>
      <c r="W32" s="122"/>
    </row>
    <row r="33" spans="1:23" ht="15" customHeight="1" x14ac:dyDescent="0.2">
      <c r="E33" s="116"/>
      <c r="F33" s="130"/>
      <c r="G33" s="258"/>
      <c r="H33" s="258"/>
      <c r="I33" s="266"/>
      <c r="J33" s="97"/>
      <c r="K33" s="116"/>
      <c r="L33" s="122"/>
      <c r="M33" s="116"/>
      <c r="N33" s="122"/>
      <c r="O33" s="116"/>
      <c r="P33" s="122"/>
      <c r="Q33" s="122"/>
      <c r="R33" s="122"/>
      <c r="S33" s="122"/>
      <c r="T33" s="122"/>
      <c r="U33" s="122"/>
      <c r="V33" s="122"/>
      <c r="W33" s="122"/>
    </row>
    <row r="34" spans="1:23" ht="15" customHeight="1" x14ac:dyDescent="0.2">
      <c r="A34" s="234" t="s">
        <v>13</v>
      </c>
      <c r="B34" s="235"/>
      <c r="C34" s="236"/>
      <c r="D34" s="57"/>
      <c r="E34" s="116"/>
      <c r="F34" s="174"/>
      <c r="G34" s="258"/>
      <c r="H34" s="258"/>
      <c r="I34" s="266"/>
      <c r="J34" s="97"/>
      <c r="K34" s="116"/>
      <c r="L34" s="122"/>
      <c r="M34" s="116"/>
      <c r="N34" s="122"/>
      <c r="O34" s="116"/>
      <c r="P34" s="122"/>
      <c r="Q34" s="122"/>
      <c r="R34" s="122"/>
      <c r="S34" s="122"/>
      <c r="T34" s="122"/>
      <c r="U34" s="122"/>
      <c r="V34" s="122"/>
      <c r="W34" s="122"/>
    </row>
    <row r="35" spans="1:23" ht="15" customHeight="1" x14ac:dyDescent="0.2">
      <c r="A35" s="237"/>
      <c r="B35" s="238"/>
      <c r="C35" s="239"/>
      <c r="E35" s="116"/>
      <c r="F35" s="174"/>
      <c r="G35" s="148"/>
      <c r="H35" s="148"/>
      <c r="I35" s="137"/>
      <c r="J35" s="91"/>
      <c r="K35" s="116"/>
      <c r="L35" s="122"/>
      <c r="M35" s="116"/>
      <c r="N35" s="122"/>
      <c r="O35" s="122"/>
      <c r="P35" s="122"/>
      <c r="Q35" s="122"/>
      <c r="R35" s="122"/>
      <c r="S35" s="122"/>
      <c r="T35" s="122"/>
      <c r="U35" s="122"/>
      <c r="V35" s="122"/>
      <c r="W35" s="122"/>
    </row>
    <row r="36" spans="1:23" ht="15" customHeight="1" x14ac:dyDescent="0.2">
      <c r="A36" s="240"/>
      <c r="B36" s="241"/>
      <c r="C36" s="242"/>
      <c r="E36" s="122"/>
      <c r="F36" s="271" t="s">
        <v>179</v>
      </c>
      <c r="G36" s="258" t="s">
        <v>182</v>
      </c>
      <c r="H36" s="258"/>
      <c r="I36" s="266"/>
      <c r="J36" s="56"/>
      <c r="K36" s="122"/>
      <c r="L36" s="122"/>
      <c r="M36" s="122"/>
      <c r="N36" s="122"/>
      <c r="O36" s="116"/>
      <c r="P36" s="122"/>
      <c r="Q36" s="122"/>
      <c r="R36" s="122"/>
      <c r="S36" s="122"/>
      <c r="T36" s="122"/>
      <c r="U36" s="122"/>
      <c r="V36" s="122"/>
      <c r="W36" s="122"/>
    </row>
    <row r="37" spans="1:23" ht="15" customHeight="1" x14ac:dyDescent="0.2">
      <c r="E37" s="116"/>
      <c r="F37" s="271"/>
      <c r="G37" s="258"/>
      <c r="H37" s="258"/>
      <c r="I37" s="266"/>
      <c r="J37" s="56"/>
      <c r="K37" s="116"/>
      <c r="L37" s="122"/>
      <c r="M37" s="116"/>
      <c r="N37" s="122"/>
      <c r="O37" s="116"/>
      <c r="P37" s="122"/>
      <c r="Q37" s="122"/>
      <c r="R37" s="122"/>
      <c r="S37" s="122"/>
      <c r="T37" s="122"/>
      <c r="U37" s="122"/>
      <c r="V37" s="122"/>
      <c r="W37" s="122"/>
    </row>
    <row r="38" spans="1:23" ht="15" customHeight="1" x14ac:dyDescent="0.2">
      <c r="A38" s="234" t="s">
        <v>14</v>
      </c>
      <c r="B38" s="235"/>
      <c r="C38" s="236"/>
      <c r="D38" s="57"/>
      <c r="E38" s="116"/>
      <c r="F38" s="130"/>
      <c r="G38" s="258"/>
      <c r="H38" s="258"/>
      <c r="I38" s="266"/>
      <c r="J38" s="97"/>
      <c r="K38" s="116"/>
      <c r="L38" s="122"/>
      <c r="M38" s="116"/>
      <c r="N38" s="122"/>
      <c r="O38" s="116"/>
      <c r="P38" s="122"/>
      <c r="Q38" s="122"/>
      <c r="R38" s="122"/>
      <c r="S38" s="122"/>
      <c r="T38" s="122"/>
      <c r="U38" s="122"/>
      <c r="V38" s="122"/>
      <c r="W38" s="122"/>
    </row>
    <row r="39" spans="1:23" ht="15" customHeight="1" x14ac:dyDescent="0.2">
      <c r="A39" s="237"/>
      <c r="B39" s="238"/>
      <c r="C39" s="239"/>
      <c r="E39" s="116"/>
      <c r="F39" s="174"/>
      <c r="G39" s="258"/>
      <c r="H39" s="258"/>
      <c r="I39" s="266"/>
      <c r="J39" s="97"/>
      <c r="K39" s="116"/>
      <c r="L39" s="122"/>
      <c r="M39" s="116"/>
      <c r="N39" s="122"/>
    </row>
    <row r="40" spans="1:23" ht="15" customHeight="1" x14ac:dyDescent="0.2">
      <c r="A40" s="240"/>
      <c r="B40" s="241"/>
      <c r="C40" s="242"/>
      <c r="E40" s="116"/>
      <c r="F40" s="174"/>
      <c r="G40" s="258"/>
      <c r="H40" s="258"/>
      <c r="I40" s="266"/>
      <c r="J40" s="97"/>
      <c r="K40" s="116"/>
      <c r="L40" s="122"/>
      <c r="M40" s="116"/>
      <c r="N40" s="122"/>
    </row>
    <row r="41" spans="1:23" ht="15" customHeight="1" x14ac:dyDescent="0.2">
      <c r="E41" s="116"/>
      <c r="F41" s="174"/>
      <c r="G41" s="258"/>
      <c r="H41" s="258"/>
      <c r="I41" s="266"/>
      <c r="J41" s="97"/>
      <c r="K41" s="116"/>
      <c r="L41" s="122"/>
      <c r="M41" s="116"/>
      <c r="N41" s="122"/>
    </row>
    <row r="42" spans="1:23" ht="15" customHeight="1" x14ac:dyDescent="0.2">
      <c r="A42" s="313" t="s">
        <v>191</v>
      </c>
      <c r="B42" s="314"/>
      <c r="C42" s="315"/>
      <c r="D42" s="61"/>
      <c r="E42" s="122"/>
      <c r="F42" s="174"/>
      <c r="G42" s="258"/>
      <c r="H42" s="258"/>
      <c r="I42" s="266"/>
      <c r="J42" s="97"/>
      <c r="K42" s="122"/>
      <c r="L42" s="122"/>
      <c r="M42" s="122"/>
      <c r="N42" s="122"/>
    </row>
    <row r="43" spans="1:23" ht="23.25" customHeight="1" x14ac:dyDescent="0.2">
      <c r="A43" s="316"/>
      <c r="B43" s="317"/>
      <c r="C43" s="318"/>
      <c r="F43" s="174"/>
      <c r="G43" s="258"/>
      <c r="H43" s="258"/>
      <c r="I43" s="266"/>
      <c r="J43" s="97"/>
    </row>
    <row r="44" spans="1:23" s="41" customFormat="1" ht="12.75" customHeight="1" x14ac:dyDescent="0.2">
      <c r="A44" s="319"/>
      <c r="B44" s="320"/>
      <c r="C44" s="321"/>
      <c r="D44" s="54"/>
      <c r="F44" s="174"/>
      <c r="G44" s="258"/>
      <c r="H44" s="258"/>
      <c r="I44" s="266"/>
      <c r="J44" s="97"/>
      <c r="K44" s="97"/>
      <c r="L44" s="97"/>
      <c r="M44" s="97"/>
      <c r="N44" s="97"/>
    </row>
    <row r="45" spans="1:23" s="41" customFormat="1" ht="23.25" customHeight="1" x14ac:dyDescent="0.2">
      <c r="A45" s="56"/>
      <c r="B45" s="56"/>
      <c r="C45" s="56"/>
      <c r="D45" s="54"/>
      <c r="E45" s="99"/>
      <c r="F45" s="174"/>
      <c r="G45" s="258"/>
      <c r="H45" s="258"/>
      <c r="I45" s="266"/>
      <c r="J45" s="97"/>
      <c r="K45" s="97"/>
      <c r="L45" s="97"/>
      <c r="M45" s="97"/>
      <c r="N45" s="97"/>
    </row>
    <row r="46" spans="1:23" ht="12.75" customHeight="1" x14ac:dyDescent="0.2">
      <c r="A46" s="234" t="s">
        <v>51</v>
      </c>
      <c r="B46" s="235"/>
      <c r="C46" s="236"/>
      <c r="D46" s="128"/>
      <c r="E46" s="99"/>
      <c r="F46" s="174"/>
      <c r="G46" s="258"/>
      <c r="H46" s="258"/>
      <c r="I46" s="266"/>
      <c r="J46" s="97"/>
      <c r="K46" s="91"/>
      <c r="L46" s="91"/>
      <c r="M46" s="91"/>
      <c r="N46" s="91"/>
      <c r="O46" s="122"/>
      <c r="P46" s="122"/>
      <c r="Q46" s="122"/>
      <c r="R46" s="122"/>
      <c r="S46" s="122"/>
    </row>
    <row r="47" spans="1:23" ht="12.75" customHeight="1" x14ac:dyDescent="0.2">
      <c r="A47" s="237"/>
      <c r="B47" s="238"/>
      <c r="C47" s="239"/>
      <c r="D47" s="29"/>
      <c r="F47" s="174"/>
      <c r="G47" s="258"/>
      <c r="H47" s="258"/>
      <c r="I47" s="266"/>
      <c r="J47" s="97"/>
      <c r="O47" s="122"/>
      <c r="P47" s="116"/>
      <c r="Q47" s="122"/>
      <c r="R47" s="122"/>
      <c r="S47" s="116"/>
    </row>
    <row r="48" spans="1:23" ht="12.75" customHeight="1" x14ac:dyDescent="0.2">
      <c r="A48" s="240"/>
      <c r="B48" s="241"/>
      <c r="C48" s="242"/>
      <c r="D48" s="29"/>
      <c r="E48" s="4"/>
      <c r="F48" s="174"/>
      <c r="G48" s="258"/>
      <c r="H48" s="258"/>
      <c r="I48" s="266"/>
      <c r="J48" s="97"/>
      <c r="O48" s="122"/>
      <c r="P48" s="116"/>
      <c r="Q48" s="122"/>
      <c r="R48" s="122"/>
      <c r="S48" s="116"/>
    </row>
    <row r="49" spans="1:19" ht="18" customHeight="1" x14ac:dyDescent="0.2">
      <c r="E49" s="4"/>
      <c r="F49" s="174"/>
      <c r="G49" s="186"/>
      <c r="H49" s="186"/>
      <c r="I49" s="187"/>
      <c r="J49" s="97"/>
      <c r="O49" s="122"/>
      <c r="P49" s="116"/>
      <c r="Q49" s="122"/>
      <c r="R49" s="122"/>
      <c r="S49" s="116"/>
    </row>
    <row r="50" spans="1:19" ht="12.75" customHeight="1" x14ac:dyDescent="0.2">
      <c r="A50" s="234" t="s">
        <v>61</v>
      </c>
      <c r="B50" s="235"/>
      <c r="C50" s="236"/>
      <c r="F50" s="130"/>
      <c r="G50" s="148"/>
      <c r="H50" s="148"/>
      <c r="I50" s="137"/>
      <c r="J50" s="91"/>
      <c r="O50" s="122"/>
      <c r="P50" s="116"/>
      <c r="Q50" s="122"/>
      <c r="R50" s="122"/>
      <c r="S50" s="116"/>
    </row>
    <row r="51" spans="1:19" ht="12.75" customHeight="1" x14ac:dyDescent="0.2">
      <c r="A51" s="237"/>
      <c r="B51" s="238"/>
      <c r="C51" s="239"/>
      <c r="F51" s="185" t="s">
        <v>9</v>
      </c>
      <c r="G51" s="258" t="s">
        <v>184</v>
      </c>
      <c r="H51" s="258"/>
      <c r="I51" s="266"/>
      <c r="J51" s="56"/>
      <c r="O51" s="122"/>
      <c r="P51" s="116"/>
      <c r="Q51" s="122"/>
      <c r="R51" s="122"/>
      <c r="S51" s="116"/>
    </row>
    <row r="52" spans="1:19" ht="12.75" customHeight="1" x14ac:dyDescent="0.2">
      <c r="A52" s="240"/>
      <c r="B52" s="241"/>
      <c r="C52" s="242"/>
      <c r="F52" s="185"/>
      <c r="G52" s="258"/>
      <c r="H52" s="258"/>
      <c r="I52" s="266"/>
      <c r="J52" s="56"/>
      <c r="O52" s="122"/>
      <c r="P52" s="122"/>
      <c r="Q52" s="122"/>
      <c r="R52" s="122"/>
      <c r="S52" s="122"/>
    </row>
    <row r="53" spans="1:19" ht="12.75" customHeight="1" x14ac:dyDescent="0.2">
      <c r="A53" s="147"/>
      <c r="B53" s="147"/>
      <c r="C53" s="147"/>
      <c r="F53" s="174"/>
      <c r="G53" s="258"/>
      <c r="H53" s="258"/>
      <c r="I53" s="266"/>
      <c r="J53" s="97"/>
      <c r="O53" s="122"/>
      <c r="P53" s="116"/>
      <c r="Q53" s="122"/>
      <c r="R53" s="122"/>
      <c r="S53" s="116"/>
    </row>
    <row r="54" spans="1:19" ht="23.25" customHeight="1" x14ac:dyDescent="0.2">
      <c r="A54" s="234" t="s">
        <v>199</v>
      </c>
      <c r="B54" s="235"/>
      <c r="C54" s="236"/>
      <c r="F54" s="174"/>
      <c r="G54" s="258"/>
      <c r="H54" s="258"/>
      <c r="I54" s="266"/>
      <c r="J54" s="97"/>
      <c r="O54" s="122"/>
      <c r="P54" s="122"/>
      <c r="Q54" s="122"/>
      <c r="R54" s="122"/>
      <c r="S54" s="122"/>
    </row>
    <row r="55" spans="1:19" ht="14.25" customHeight="1" x14ac:dyDescent="0.2">
      <c r="A55" s="237"/>
      <c r="B55" s="238"/>
      <c r="C55" s="239"/>
      <c r="F55" s="174"/>
      <c r="G55" s="29"/>
      <c r="H55" s="122"/>
      <c r="I55" s="184"/>
      <c r="J55" s="91"/>
      <c r="O55" s="122"/>
      <c r="P55" s="116"/>
      <c r="Q55" s="122"/>
      <c r="R55" s="122"/>
      <c r="S55" s="116"/>
    </row>
    <row r="56" spans="1:19" ht="13.5" customHeight="1" x14ac:dyDescent="0.2">
      <c r="A56" s="240"/>
      <c r="B56" s="241"/>
      <c r="C56" s="242"/>
      <c r="F56" s="308" t="s">
        <v>51</v>
      </c>
      <c r="G56" s="258" t="s">
        <v>183</v>
      </c>
      <c r="H56" s="258"/>
      <c r="I56" s="266"/>
      <c r="J56" s="56"/>
      <c r="O56" s="122"/>
      <c r="P56" s="116"/>
      <c r="Q56" s="122"/>
      <c r="R56" s="122"/>
      <c r="S56" s="116"/>
    </row>
    <row r="57" spans="1:19" ht="13.5" customHeight="1" x14ac:dyDescent="0.2">
      <c r="A57" s="188"/>
      <c r="B57" s="188"/>
      <c r="C57" s="188"/>
      <c r="F57" s="308"/>
      <c r="G57" s="258"/>
      <c r="H57" s="258"/>
      <c r="I57" s="266"/>
      <c r="J57" s="56"/>
      <c r="O57" s="122"/>
      <c r="P57" s="116"/>
      <c r="Q57" s="122"/>
      <c r="R57" s="122"/>
      <c r="S57" s="116"/>
    </row>
    <row r="58" spans="1:19" ht="13.5" customHeight="1" x14ac:dyDescent="0.2">
      <c r="A58" s="234" t="s">
        <v>200</v>
      </c>
      <c r="B58" s="235"/>
      <c r="C58" s="236"/>
      <c r="F58" s="174"/>
      <c r="G58" s="258"/>
      <c r="H58" s="258"/>
      <c r="I58" s="266"/>
      <c r="J58" s="97"/>
      <c r="O58" s="122"/>
      <c r="P58" s="116"/>
      <c r="Q58" s="122"/>
      <c r="R58" s="122"/>
      <c r="S58" s="116"/>
    </row>
    <row r="59" spans="1:19" ht="13.5" customHeight="1" x14ac:dyDescent="0.2">
      <c r="A59" s="237"/>
      <c r="B59" s="238"/>
      <c r="C59" s="239"/>
      <c r="F59" s="174"/>
      <c r="G59" s="258"/>
      <c r="H59" s="258"/>
      <c r="I59" s="266"/>
      <c r="J59" s="97"/>
      <c r="O59" s="122"/>
      <c r="P59" s="116"/>
      <c r="Q59" s="122"/>
      <c r="R59" s="122"/>
      <c r="S59" s="116"/>
    </row>
    <row r="60" spans="1:19" ht="13.5" customHeight="1" x14ac:dyDescent="0.2">
      <c r="A60" s="237"/>
      <c r="B60" s="238"/>
      <c r="C60" s="239"/>
      <c r="F60" s="174"/>
      <c r="G60" s="148"/>
      <c r="H60" s="148"/>
      <c r="I60" s="137"/>
      <c r="J60" s="91"/>
      <c r="O60" s="122"/>
      <c r="P60" s="122"/>
      <c r="Q60" s="122"/>
      <c r="R60" s="122"/>
      <c r="S60" s="122"/>
    </row>
    <row r="61" spans="1:19" ht="15" customHeight="1" x14ac:dyDescent="0.2">
      <c r="A61" s="240"/>
      <c r="B61" s="241"/>
      <c r="C61" s="242"/>
      <c r="F61" s="271" t="s">
        <v>13</v>
      </c>
      <c r="G61" s="258" t="s">
        <v>185</v>
      </c>
      <c r="H61" s="258"/>
      <c r="I61" s="266"/>
      <c r="J61" s="56"/>
      <c r="O61" s="122"/>
      <c r="P61" s="116"/>
      <c r="Q61" s="122"/>
      <c r="R61" s="122"/>
      <c r="S61" s="116"/>
    </row>
    <row r="62" spans="1:19" ht="27.75" customHeight="1" x14ac:dyDescent="0.2">
      <c r="A62" s="188"/>
      <c r="B62" s="188"/>
      <c r="C62" s="188"/>
      <c r="F62" s="271"/>
      <c r="G62" s="258"/>
      <c r="H62" s="258"/>
      <c r="I62" s="266"/>
      <c r="O62" s="122"/>
      <c r="P62" s="122"/>
      <c r="Q62" s="122"/>
      <c r="R62" s="122"/>
      <c r="S62" s="122"/>
    </row>
    <row r="63" spans="1:19" ht="15.75" customHeight="1" x14ac:dyDescent="0.2">
      <c r="A63" s="234" t="s">
        <v>139</v>
      </c>
      <c r="B63" s="235"/>
      <c r="C63" s="236"/>
      <c r="F63" s="174"/>
      <c r="G63" s="258"/>
      <c r="H63" s="258"/>
      <c r="I63" s="266"/>
      <c r="O63" s="122"/>
      <c r="P63" s="116"/>
      <c r="Q63" s="122"/>
      <c r="R63" s="122"/>
      <c r="S63" s="116"/>
    </row>
    <row r="64" spans="1:19" ht="27" customHeight="1" x14ac:dyDescent="0.2">
      <c r="A64" s="237"/>
      <c r="B64" s="238"/>
      <c r="C64" s="239"/>
      <c r="F64" s="27"/>
      <c r="G64" s="258"/>
      <c r="H64" s="258"/>
      <c r="I64" s="266"/>
      <c r="O64" s="122"/>
      <c r="P64" s="116"/>
      <c r="Q64" s="122"/>
      <c r="R64" s="122"/>
      <c r="S64" s="116"/>
    </row>
    <row r="65" spans="1:19" ht="15.75" customHeight="1" x14ac:dyDescent="0.2">
      <c r="A65" s="240"/>
      <c r="B65" s="241"/>
      <c r="C65" s="242"/>
      <c r="F65" s="176"/>
      <c r="G65" s="258"/>
      <c r="H65" s="258"/>
      <c r="I65" s="266"/>
      <c r="O65" s="122"/>
      <c r="P65" s="116"/>
      <c r="Q65" s="122"/>
      <c r="R65" s="122"/>
      <c r="S65" s="116"/>
    </row>
    <row r="66" spans="1:19" ht="15.75" customHeight="1" x14ac:dyDescent="0.2">
      <c r="F66" s="177"/>
      <c r="G66" s="258"/>
      <c r="H66" s="258"/>
      <c r="I66" s="266"/>
      <c r="O66" s="122"/>
      <c r="P66" s="116"/>
      <c r="Q66" s="122"/>
      <c r="R66" s="122"/>
      <c r="S66" s="116"/>
    </row>
    <row r="67" spans="1:19" ht="15.75" customHeight="1" x14ac:dyDescent="0.2">
      <c r="F67" s="177"/>
      <c r="G67" s="148"/>
      <c r="H67" s="148"/>
      <c r="I67" s="137"/>
      <c r="O67" s="122"/>
      <c r="P67" s="116"/>
      <c r="Q67" s="122"/>
      <c r="R67" s="122"/>
      <c r="S67" s="116"/>
    </row>
    <row r="68" spans="1:19" ht="23.25" customHeight="1" x14ac:dyDescent="0.2">
      <c r="F68" s="178"/>
      <c r="G68" s="148"/>
      <c r="H68" s="148"/>
      <c r="I68" s="137"/>
      <c r="O68" s="122"/>
      <c r="P68" s="122"/>
      <c r="Q68" s="122"/>
      <c r="R68" s="122"/>
      <c r="S68" s="122"/>
    </row>
    <row r="69" spans="1:19" ht="12.75" customHeight="1" x14ac:dyDescent="0.2">
      <c r="F69" s="271" t="s">
        <v>61</v>
      </c>
      <c r="G69" s="258" t="s">
        <v>190</v>
      </c>
      <c r="H69" s="258"/>
      <c r="I69" s="266"/>
      <c r="O69" s="122"/>
      <c r="P69" s="116"/>
      <c r="Q69" s="122"/>
      <c r="R69" s="122"/>
      <c r="S69" s="116"/>
    </row>
    <row r="70" spans="1:19" ht="12.75" customHeight="1" x14ac:dyDescent="0.2">
      <c r="F70" s="271"/>
      <c r="G70" s="258"/>
      <c r="H70" s="258"/>
      <c r="I70" s="266"/>
      <c r="O70" s="122"/>
      <c r="P70" s="122"/>
      <c r="Q70" s="122"/>
      <c r="R70" s="122"/>
      <c r="S70" s="122"/>
    </row>
    <row r="71" spans="1:19" ht="12.75" customHeight="1" x14ac:dyDescent="0.2">
      <c r="F71" s="174"/>
      <c r="G71" s="258"/>
      <c r="H71" s="258"/>
      <c r="I71" s="266"/>
      <c r="O71" s="122"/>
      <c r="P71" s="116"/>
      <c r="Q71" s="122"/>
      <c r="R71" s="122"/>
      <c r="S71" s="116"/>
    </row>
    <row r="72" spans="1:19" ht="12.75" customHeight="1" x14ac:dyDescent="0.2">
      <c r="F72" s="27"/>
      <c r="G72" s="258"/>
      <c r="H72" s="258"/>
      <c r="I72" s="266"/>
      <c r="O72" s="122"/>
      <c r="P72" s="116"/>
      <c r="Q72" s="122"/>
      <c r="R72" s="122"/>
      <c r="S72" s="116"/>
    </row>
    <row r="73" spans="1:19" x14ac:dyDescent="0.2">
      <c r="F73" s="176"/>
      <c r="G73" s="258"/>
      <c r="H73" s="258"/>
      <c r="I73" s="266"/>
      <c r="O73" s="122"/>
      <c r="P73" s="116"/>
      <c r="Q73" s="122"/>
      <c r="R73" s="122"/>
      <c r="S73" s="116"/>
    </row>
    <row r="74" spans="1:19" x14ac:dyDescent="0.2">
      <c r="F74" s="177"/>
      <c r="G74" s="29"/>
      <c r="H74" s="29"/>
      <c r="I74" s="137"/>
      <c r="O74" s="122"/>
      <c r="P74" s="116"/>
      <c r="Q74" s="122"/>
      <c r="R74" s="122"/>
      <c r="S74" s="116"/>
    </row>
    <row r="75" spans="1:19" x14ac:dyDescent="0.2">
      <c r="F75" s="27"/>
      <c r="G75" s="148"/>
      <c r="H75" s="148"/>
      <c r="I75" s="137"/>
      <c r="O75" s="122"/>
      <c r="P75" s="116"/>
      <c r="Q75" s="122"/>
      <c r="R75" s="122"/>
      <c r="S75" s="116"/>
    </row>
    <row r="76" spans="1:19" x14ac:dyDescent="0.2">
      <c r="F76" s="27"/>
      <c r="G76" s="182"/>
      <c r="H76" s="28"/>
      <c r="I76" s="30"/>
      <c r="O76" s="122"/>
      <c r="P76" s="122"/>
      <c r="Q76" s="122"/>
      <c r="R76" s="122"/>
      <c r="S76" s="122"/>
    </row>
    <row r="77" spans="1:19" x14ac:dyDescent="0.2">
      <c r="F77" s="271" t="s">
        <v>191</v>
      </c>
      <c r="G77" s="258" t="s">
        <v>194</v>
      </c>
      <c r="H77" s="258"/>
      <c r="I77" s="266"/>
      <c r="O77" s="122"/>
      <c r="P77" s="116"/>
      <c r="Q77" s="122"/>
      <c r="R77" s="122"/>
      <c r="S77" s="116"/>
    </row>
    <row r="78" spans="1:19" x14ac:dyDescent="0.2">
      <c r="F78" s="271"/>
      <c r="G78" s="258"/>
      <c r="H78" s="258"/>
      <c r="I78" s="266"/>
      <c r="O78" s="122"/>
      <c r="P78" s="122"/>
      <c r="Q78" s="122"/>
      <c r="R78" s="122"/>
      <c r="S78" s="122"/>
    </row>
    <row r="79" spans="1:19" x14ac:dyDescent="0.2">
      <c r="F79" s="27"/>
      <c r="G79" s="258"/>
      <c r="H79" s="258"/>
      <c r="I79" s="266"/>
      <c r="O79" s="122"/>
      <c r="P79" s="116"/>
      <c r="Q79" s="122"/>
      <c r="R79" s="122"/>
      <c r="S79" s="116"/>
    </row>
    <row r="80" spans="1:19" x14ac:dyDescent="0.2">
      <c r="F80" s="27"/>
      <c r="G80" s="258"/>
      <c r="H80" s="258"/>
      <c r="I80" s="266"/>
      <c r="O80" s="122"/>
      <c r="P80" s="116"/>
      <c r="Q80" s="122"/>
      <c r="R80" s="122"/>
      <c r="S80" s="116"/>
    </row>
    <row r="81" spans="6:19" x14ac:dyDescent="0.2">
      <c r="F81" s="27"/>
      <c r="G81" s="29"/>
      <c r="H81" s="29"/>
      <c r="I81" s="137"/>
      <c r="O81" s="122"/>
      <c r="P81" s="116"/>
      <c r="Q81" s="122"/>
      <c r="R81" s="122"/>
      <c r="S81" s="116"/>
    </row>
    <row r="82" spans="6:19" x14ac:dyDescent="0.2">
      <c r="F82" s="27"/>
      <c r="G82" s="148"/>
      <c r="H82" s="148"/>
      <c r="I82" s="137"/>
      <c r="O82" s="122"/>
      <c r="P82" s="116"/>
      <c r="Q82" s="122"/>
      <c r="R82" s="122"/>
      <c r="S82" s="116"/>
    </row>
    <row r="83" spans="6:19" x14ac:dyDescent="0.2">
      <c r="F83" s="308" t="s">
        <v>51</v>
      </c>
      <c r="G83" s="258" t="s">
        <v>192</v>
      </c>
      <c r="H83" s="258"/>
      <c r="I83" s="266"/>
      <c r="O83" s="122"/>
      <c r="P83" s="116"/>
      <c r="Q83" s="122"/>
      <c r="R83" s="122"/>
      <c r="S83" s="116"/>
    </row>
    <row r="84" spans="6:19" x14ac:dyDescent="0.2">
      <c r="F84" s="308"/>
      <c r="G84" s="258"/>
      <c r="H84" s="258"/>
      <c r="I84" s="266"/>
      <c r="O84" s="122"/>
      <c r="P84" s="122"/>
      <c r="Q84" s="122"/>
      <c r="R84" s="122"/>
      <c r="S84" s="122"/>
    </row>
    <row r="85" spans="6:19" x14ac:dyDescent="0.2">
      <c r="F85" s="174"/>
      <c r="G85" s="258"/>
      <c r="H85" s="258"/>
      <c r="I85" s="266"/>
      <c r="O85" s="122"/>
      <c r="P85" s="116"/>
      <c r="Q85" s="122"/>
      <c r="R85" s="122"/>
      <c r="S85" s="116"/>
    </row>
    <row r="86" spans="6:19" x14ac:dyDescent="0.2">
      <c r="F86" s="174"/>
      <c r="G86" s="258"/>
      <c r="H86" s="258"/>
      <c r="I86" s="266"/>
      <c r="O86" s="122"/>
      <c r="P86" s="122"/>
      <c r="Q86" s="122"/>
      <c r="R86" s="122"/>
      <c r="S86" s="122"/>
    </row>
    <row r="87" spans="6:19" ht="12.75" customHeight="1" x14ac:dyDescent="0.2">
      <c r="F87" s="27"/>
      <c r="G87" s="148"/>
      <c r="H87" s="148"/>
      <c r="I87" s="137"/>
      <c r="O87" s="122"/>
      <c r="P87" s="116"/>
      <c r="Q87" s="122"/>
      <c r="R87" s="122"/>
      <c r="S87" s="116"/>
    </row>
    <row r="88" spans="6:19" x14ac:dyDescent="0.2">
      <c r="F88" s="27"/>
      <c r="G88" s="148"/>
      <c r="H88" s="148"/>
      <c r="I88" s="137"/>
      <c r="O88" s="122"/>
      <c r="P88" s="116"/>
      <c r="Q88" s="122"/>
      <c r="R88" s="122"/>
      <c r="S88" s="116"/>
    </row>
    <row r="89" spans="6:19" ht="12.75" customHeight="1" x14ac:dyDescent="0.2">
      <c r="F89" s="271" t="s">
        <v>193</v>
      </c>
      <c r="G89" s="258" t="s">
        <v>195</v>
      </c>
      <c r="H89" s="258"/>
      <c r="I89" s="266"/>
      <c r="O89" s="122"/>
      <c r="P89" s="116"/>
      <c r="Q89" s="122"/>
      <c r="R89" s="122"/>
      <c r="S89" s="116"/>
    </row>
    <row r="90" spans="6:19" x14ac:dyDescent="0.2">
      <c r="F90" s="271"/>
      <c r="G90" s="258"/>
      <c r="H90" s="258"/>
      <c r="I90" s="266"/>
      <c r="O90" s="122"/>
      <c r="P90" s="116"/>
      <c r="Q90" s="122"/>
      <c r="R90" s="122"/>
      <c r="S90" s="116"/>
    </row>
    <row r="91" spans="6:19" x14ac:dyDescent="0.2">
      <c r="F91" s="27"/>
      <c r="G91" s="258"/>
      <c r="H91" s="258"/>
      <c r="I91" s="266"/>
      <c r="O91" s="122"/>
      <c r="P91" s="116"/>
      <c r="Q91" s="122"/>
      <c r="R91" s="122"/>
      <c r="S91" s="116"/>
    </row>
    <row r="92" spans="6:19" ht="12.75" customHeight="1" x14ac:dyDescent="0.2">
      <c r="F92" s="27"/>
      <c r="G92" s="258"/>
      <c r="H92" s="258"/>
      <c r="I92" s="266"/>
      <c r="O92" s="122"/>
      <c r="P92" s="122"/>
      <c r="Q92" s="122"/>
      <c r="R92" s="122"/>
      <c r="S92" s="122"/>
    </row>
    <row r="93" spans="6:19" x14ac:dyDescent="0.2">
      <c r="F93" s="27"/>
      <c r="G93" s="148"/>
      <c r="H93" s="148"/>
      <c r="I93" s="137"/>
      <c r="O93" s="122"/>
      <c r="P93" s="116"/>
      <c r="Q93" s="122"/>
      <c r="R93" s="122"/>
      <c r="S93" s="116"/>
    </row>
    <row r="94" spans="6:19" x14ac:dyDescent="0.2">
      <c r="F94" s="271" t="s">
        <v>196</v>
      </c>
      <c r="G94" s="258" t="s">
        <v>197</v>
      </c>
      <c r="H94" s="258"/>
      <c r="I94" s="266"/>
      <c r="O94" s="122"/>
      <c r="P94" s="122"/>
      <c r="Q94" s="122"/>
      <c r="R94" s="122"/>
      <c r="S94" s="122"/>
    </row>
    <row r="95" spans="6:19" ht="15" customHeight="1" x14ac:dyDescent="0.2">
      <c r="F95" s="271"/>
      <c r="G95" s="258"/>
      <c r="H95" s="258"/>
      <c r="I95" s="266"/>
      <c r="O95" s="122"/>
      <c r="P95" s="116"/>
      <c r="Q95" s="122"/>
      <c r="R95" s="122"/>
      <c r="S95" s="116"/>
    </row>
    <row r="96" spans="6:19" ht="17.25" customHeight="1" x14ac:dyDescent="0.2">
      <c r="F96" s="27"/>
      <c r="G96" s="258"/>
      <c r="H96" s="258"/>
      <c r="I96" s="266"/>
      <c r="O96" s="122"/>
      <c r="P96" s="116"/>
      <c r="Q96" s="122"/>
      <c r="R96" s="122"/>
      <c r="S96" s="116"/>
    </row>
    <row r="97" spans="6:19" ht="12.75" customHeight="1" x14ac:dyDescent="0.2">
      <c r="F97" s="27"/>
      <c r="G97" s="258"/>
      <c r="H97" s="258"/>
      <c r="I97" s="266"/>
      <c r="O97" s="122"/>
      <c r="P97" s="116"/>
      <c r="Q97" s="122"/>
      <c r="R97" s="122"/>
      <c r="S97" s="116"/>
    </row>
    <row r="98" spans="6:19" x14ac:dyDescent="0.2">
      <c r="F98" s="27"/>
      <c r="G98" s="148"/>
      <c r="H98" s="148"/>
      <c r="I98" s="137"/>
      <c r="O98" s="122"/>
      <c r="P98" s="116"/>
      <c r="Q98" s="122"/>
      <c r="R98" s="122"/>
      <c r="S98" s="116"/>
    </row>
    <row r="99" spans="6:19" x14ac:dyDescent="0.2">
      <c r="F99" s="271" t="s">
        <v>200</v>
      </c>
      <c r="G99" s="258" t="s">
        <v>198</v>
      </c>
      <c r="H99" s="258"/>
      <c r="I99" s="266"/>
      <c r="O99" s="122"/>
      <c r="P99" s="116"/>
      <c r="Q99" s="122"/>
      <c r="R99" s="122"/>
      <c r="S99" s="116"/>
    </row>
    <row r="100" spans="6:19" x14ac:dyDescent="0.2">
      <c r="F100" s="271"/>
      <c r="G100" s="258"/>
      <c r="H100" s="258"/>
      <c r="I100" s="266"/>
      <c r="O100" s="122"/>
      <c r="P100" s="122"/>
      <c r="Q100" s="122"/>
      <c r="R100" s="122"/>
      <c r="S100" s="122"/>
    </row>
    <row r="101" spans="6:19" x14ac:dyDescent="0.2">
      <c r="F101" s="27"/>
      <c r="G101" s="258"/>
      <c r="H101" s="258"/>
      <c r="I101" s="266"/>
      <c r="O101" s="122"/>
      <c r="P101" s="116"/>
      <c r="Q101" s="122"/>
      <c r="R101" s="122"/>
      <c r="S101" s="116"/>
    </row>
    <row r="102" spans="6:19" x14ac:dyDescent="0.2">
      <c r="F102" s="27"/>
      <c r="G102" s="258"/>
      <c r="H102" s="258"/>
      <c r="I102" s="266"/>
      <c r="O102" s="122"/>
      <c r="P102" s="122"/>
      <c r="Q102" s="122"/>
      <c r="R102" s="122"/>
      <c r="S102" s="122"/>
    </row>
    <row r="103" spans="6:19" x14ac:dyDescent="0.2">
      <c r="F103" s="27"/>
      <c r="G103" s="148"/>
      <c r="H103" s="28"/>
      <c r="I103" s="30"/>
    </row>
    <row r="104" spans="6:19" x14ac:dyDescent="0.2">
      <c r="F104" s="271" t="s">
        <v>139</v>
      </c>
      <c r="G104" s="258" t="s">
        <v>201</v>
      </c>
      <c r="H104" s="258"/>
      <c r="I104" s="266"/>
    </row>
    <row r="105" spans="6:19" ht="12.75" customHeight="1" x14ac:dyDescent="0.2">
      <c r="F105" s="271"/>
      <c r="G105" s="258"/>
      <c r="H105" s="258"/>
      <c r="I105" s="266"/>
    </row>
    <row r="106" spans="6:19" x14ac:dyDescent="0.2">
      <c r="F106" s="27"/>
      <c r="G106" s="258"/>
      <c r="H106" s="258"/>
      <c r="I106" s="266"/>
    </row>
    <row r="107" spans="6:19" ht="13.5" thickBot="1" x14ac:dyDescent="0.25">
      <c r="F107" s="138"/>
      <c r="G107" s="296"/>
      <c r="H107" s="296"/>
      <c r="I107" s="267"/>
    </row>
    <row r="113" ht="12.75" customHeight="1" x14ac:dyDescent="0.2"/>
    <row r="129" spans="4:4" x14ac:dyDescent="0.2">
      <c r="D129" s="56"/>
    </row>
    <row r="130" spans="4:4" x14ac:dyDescent="0.2">
      <c r="D130" s="56"/>
    </row>
    <row r="131" spans="4:4" x14ac:dyDescent="0.2">
      <c r="D131" s="56"/>
    </row>
    <row r="132" spans="4:4" x14ac:dyDescent="0.2">
      <c r="D132" s="56"/>
    </row>
    <row r="133" spans="4:4" x14ac:dyDescent="0.2">
      <c r="D133" s="56"/>
    </row>
    <row r="134" spans="4:4" x14ac:dyDescent="0.2">
      <c r="D134" s="56"/>
    </row>
  </sheetData>
  <mergeCells count="51">
    <mergeCell ref="A54:C56"/>
    <mergeCell ref="A63:C65"/>
    <mergeCell ref="A58:C61"/>
    <mergeCell ref="A30:C32"/>
    <mergeCell ref="A34:C36"/>
    <mergeCell ref="A38:C40"/>
    <mergeCell ref="A42:C44"/>
    <mergeCell ref="N3:O3"/>
    <mergeCell ref="O5:O6"/>
    <mergeCell ref="N5:N6"/>
    <mergeCell ref="G61:I66"/>
    <mergeCell ref="R3:S3"/>
    <mergeCell ref="S9:S10"/>
    <mergeCell ref="O10:O11"/>
    <mergeCell ref="G56:I59"/>
    <mergeCell ref="N10:N11"/>
    <mergeCell ref="F16:I16"/>
    <mergeCell ref="F18:F19"/>
    <mergeCell ref="G18:I24"/>
    <mergeCell ref="F26:F27"/>
    <mergeCell ref="G26:I34"/>
    <mergeCell ref="F56:F57"/>
    <mergeCell ref="F61:F62"/>
    <mergeCell ref="F104:F105"/>
    <mergeCell ref="G104:I107"/>
    <mergeCell ref="F69:F70"/>
    <mergeCell ref="G69:I73"/>
    <mergeCell ref="F99:F100"/>
    <mergeCell ref="G99:I102"/>
    <mergeCell ref="F89:F90"/>
    <mergeCell ref="G89:I92"/>
    <mergeCell ref="F94:F95"/>
    <mergeCell ref="G94:I97"/>
    <mergeCell ref="F77:F78"/>
    <mergeCell ref="G77:I80"/>
    <mergeCell ref="F83:F84"/>
    <mergeCell ref="G83:I86"/>
    <mergeCell ref="B2:F2"/>
    <mergeCell ref="J26:J27"/>
    <mergeCell ref="J30:J31"/>
    <mergeCell ref="A50:C52"/>
    <mergeCell ref="A18:C20"/>
    <mergeCell ref="H5:K6"/>
    <mergeCell ref="H8:K8"/>
    <mergeCell ref="A22:C24"/>
    <mergeCell ref="A14:C16"/>
    <mergeCell ref="A46:C48"/>
    <mergeCell ref="A26:C28"/>
    <mergeCell ref="G36:I48"/>
    <mergeCell ref="F36:F37"/>
    <mergeCell ref="G51:I54"/>
  </mergeCells>
  <dataValidations disablePrompts="1" count="1">
    <dataValidation type="list" allowBlank="1" showInputMessage="1" showErrorMessage="1" sqref="G8">
      <formula1>$P$22:$P$24</formula1>
    </dataValidation>
  </dataValidations>
  <hyperlinks>
    <hyperlink ref="H2" location="Home!A5" display="Home"/>
    <hyperlink ref="S9:S10" r:id="rId1" display="https://shop.llg-labware.com/info466_Universal_drying_oven_LLG-uniiOVENi_lang_UK.htm?UID=55005feb15d8000000000000"/>
    <hyperlink ref="S12" r:id="rId2"/>
    <hyperlink ref="S5" r:id="rId3"/>
    <hyperlink ref="S14" r:id="rId4"/>
    <hyperlink ref="J30" location="'Spin graph'!A1" display="Spin coating parameters"/>
    <hyperlink ref="J26" r:id="rId5"/>
    <hyperlink ref="O8" r:id="rId6"/>
  </hyperlinks>
  <pageMargins left="0.25" right="0.25" top="0.75" bottom="0.75" header="0.3" footer="0.3"/>
  <pageSetup paperSize="9" scale="84" firstPageNumber="0" orientation="landscape" horizontalDpi="300" verticalDpi="300" r:id="rId7"/>
  <headerFooter alignWithMargins="0">
    <oddHeader>&amp;C&amp;"Times New Roman,Normal"&amp;12SU8 Processing CMi BM+1</oddHeader>
    <oddFooter>&amp;C&amp;"Times New Roman,Normal"&amp;12Page &amp;P</oddFooter>
  </headerFooter>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selection activeCell="N8" sqref="N8"/>
    </sheetView>
  </sheetViews>
  <sheetFormatPr defaultColWidth="11.42578125" defaultRowHeight="12.75" x14ac:dyDescent="0.2"/>
  <cols>
    <col min="1" max="1" width="6.85546875" style="4" customWidth="1"/>
    <col min="2" max="2" width="15.5703125" style="4" customWidth="1"/>
    <col min="3" max="3" width="22.7109375" style="4" customWidth="1"/>
    <col min="4" max="4" width="44.28515625" style="4" customWidth="1"/>
    <col min="5" max="5" width="36.7109375" style="4" customWidth="1"/>
    <col min="6" max="6" width="18.28515625" style="5" customWidth="1"/>
    <col min="7" max="16384" width="11.42578125" style="56"/>
  </cols>
  <sheetData>
    <row r="1" spans="1:6" x14ac:dyDescent="0.2">
      <c r="E1" s="25" t="s">
        <v>107</v>
      </c>
    </row>
    <row r="2" spans="1:6" x14ac:dyDescent="0.2">
      <c r="E2" s="25"/>
    </row>
    <row r="3" spans="1:6" ht="24" customHeight="1" x14ac:dyDescent="0.2">
      <c r="A3" s="6" t="s">
        <v>16</v>
      </c>
      <c r="B3" s="6" t="s">
        <v>17</v>
      </c>
      <c r="C3" s="6" t="s">
        <v>18</v>
      </c>
      <c r="D3" s="6" t="s">
        <v>19</v>
      </c>
      <c r="E3" s="6" t="s">
        <v>20</v>
      </c>
    </row>
    <row r="4" spans="1:6" ht="12.75" customHeight="1" x14ac:dyDescent="0.2">
      <c r="A4" s="7" t="s">
        <v>21</v>
      </c>
      <c r="B4" s="322" t="s">
        <v>22</v>
      </c>
      <c r="C4" s="322"/>
      <c r="D4" s="322"/>
      <c r="E4" s="322"/>
    </row>
    <row r="5" spans="1:6" s="96" customFormat="1" ht="20.25" customHeight="1" x14ac:dyDescent="0.2">
      <c r="A5" s="9" t="str">
        <f>CONCATENATE(LEFT(A4,3),".1")</f>
        <v>X.1</v>
      </c>
      <c r="B5" s="9" t="s">
        <v>23</v>
      </c>
      <c r="C5" s="94" t="s">
        <v>54</v>
      </c>
      <c r="D5" s="94" t="s">
        <v>24</v>
      </c>
      <c r="E5" s="94" t="s">
        <v>24</v>
      </c>
      <c r="F5" s="95"/>
    </row>
    <row r="6" spans="1:6" ht="123.75" customHeight="1" x14ac:dyDescent="0.2">
      <c r="A6" s="9" t="str">
        <f>CONCATENATE(LEFT(A4,3),".2")</f>
        <v>X.2</v>
      </c>
      <c r="B6" s="9" t="s">
        <v>25</v>
      </c>
      <c r="C6" s="9" t="s">
        <v>112</v>
      </c>
      <c r="D6" s="66" t="s">
        <v>62</v>
      </c>
      <c r="E6" s="10" t="s">
        <v>106</v>
      </c>
    </row>
    <row r="7" spans="1:6" ht="70.5" customHeight="1" x14ac:dyDescent="0.2">
      <c r="A7" s="9" t="str">
        <f>CONCATENATE(LEFT(A4,3),".3")</f>
        <v>X.3</v>
      </c>
      <c r="B7" s="9" t="s">
        <v>77</v>
      </c>
      <c r="C7" s="9" t="s">
        <v>111</v>
      </c>
      <c r="D7" s="11" t="s">
        <v>118</v>
      </c>
      <c r="E7" s="9" t="s">
        <v>117</v>
      </c>
    </row>
    <row r="8" spans="1:6" ht="241.5" customHeight="1" x14ac:dyDescent="0.2">
      <c r="A8" s="9" t="str">
        <f>CONCATENATE(LEFT(A4,3),".4")</f>
        <v>X.4</v>
      </c>
      <c r="B8" s="9" t="s">
        <v>26</v>
      </c>
      <c r="C8" s="9" t="s">
        <v>111</v>
      </c>
      <c r="D8" s="9" t="s">
        <v>119</v>
      </c>
      <c r="E8" s="11" t="s">
        <v>127</v>
      </c>
    </row>
    <row r="9" spans="1:6" ht="69.75" customHeight="1" x14ac:dyDescent="0.2">
      <c r="A9" s="9" t="str">
        <f>CONCATENATE(LEFT(A4,3),".5")</f>
        <v>X.5</v>
      </c>
      <c r="B9" s="9" t="s">
        <v>95</v>
      </c>
      <c r="C9" s="9" t="s">
        <v>112</v>
      </c>
      <c r="D9" s="9" t="s">
        <v>96</v>
      </c>
      <c r="E9" s="9" t="s">
        <v>110</v>
      </c>
    </row>
    <row r="10" spans="1:6" ht="141" customHeight="1" x14ac:dyDescent="0.2">
      <c r="A10" s="9" t="str">
        <f>CONCATENATE(LEFT(A4,3),".6")</f>
        <v>X.6</v>
      </c>
      <c r="B10" s="9" t="s">
        <v>51</v>
      </c>
      <c r="C10" s="9" t="s">
        <v>113</v>
      </c>
      <c r="D10" s="9" t="s">
        <v>93</v>
      </c>
      <c r="E10" s="9" t="s">
        <v>108</v>
      </c>
    </row>
    <row r="11" spans="1:6" ht="73.5" customHeight="1" x14ac:dyDescent="0.2">
      <c r="A11" s="9" t="str">
        <f>CONCATENATE(LEFT(A4,3),".7")</f>
        <v>X.7</v>
      </c>
      <c r="B11" s="9" t="s">
        <v>27</v>
      </c>
      <c r="C11" s="9" t="s">
        <v>89</v>
      </c>
      <c r="D11" s="9" t="s">
        <v>94</v>
      </c>
      <c r="E11" s="11" t="s">
        <v>126</v>
      </c>
    </row>
    <row r="12" spans="1:6" ht="26.25" customHeight="1" x14ac:dyDescent="0.2">
      <c r="A12" s="9" t="str">
        <f>CONCATENATE(LEFT(A4,3),".8")</f>
        <v>X.8</v>
      </c>
      <c r="B12" s="9" t="s">
        <v>57</v>
      </c>
      <c r="C12" s="9" t="s">
        <v>58</v>
      </c>
      <c r="D12" s="9" t="s">
        <v>59</v>
      </c>
      <c r="E12" s="9"/>
    </row>
    <row r="13" spans="1:6" ht="132" customHeight="1" x14ac:dyDescent="0.2">
      <c r="A13" s="9" t="str">
        <f>CONCATENATE(LEFT(A4,3),".9")</f>
        <v>X.9</v>
      </c>
      <c r="B13" s="9" t="s">
        <v>61</v>
      </c>
      <c r="C13" s="9" t="s">
        <v>90</v>
      </c>
      <c r="D13" s="9" t="s">
        <v>28</v>
      </c>
      <c r="E13" s="9" t="s">
        <v>109</v>
      </c>
    </row>
    <row r="14" spans="1:6" ht="32.25" customHeight="1" x14ac:dyDescent="0.2">
      <c r="A14" s="9" t="str">
        <f>CONCATENATE(LEFT(A4,3),".10")</f>
        <v>X.10</v>
      </c>
      <c r="B14" s="9" t="s">
        <v>29</v>
      </c>
      <c r="C14" s="9" t="s">
        <v>92</v>
      </c>
      <c r="D14" s="9" t="s">
        <v>30</v>
      </c>
      <c r="E14" s="9" t="s">
        <v>31</v>
      </c>
    </row>
    <row r="15" spans="1:6" ht="27.75" customHeight="1" x14ac:dyDescent="0.2">
      <c r="A15" s="9" t="str">
        <f>CONCATENATE(LEFT(A4,3),".11")</f>
        <v>X.11</v>
      </c>
      <c r="B15" s="9" t="s">
        <v>32</v>
      </c>
      <c r="C15" s="9" t="s">
        <v>91</v>
      </c>
      <c r="D15" s="9" t="s">
        <v>60</v>
      </c>
      <c r="E15" s="9"/>
    </row>
    <row r="18" spans="1:5" s="5" customFormat="1" ht="12.75" customHeight="1" x14ac:dyDescent="0.2">
      <c r="A18" s="4"/>
      <c r="B18" s="4"/>
      <c r="C18" s="4"/>
      <c r="D18" s="4"/>
      <c r="E18" s="4"/>
    </row>
    <row r="19" spans="1:5" s="5" customFormat="1" ht="12.75" customHeight="1" x14ac:dyDescent="0.2">
      <c r="A19" s="323" t="s">
        <v>52</v>
      </c>
      <c r="B19" s="323"/>
      <c r="C19" s="323"/>
      <c r="D19" s="323"/>
      <c r="E19" s="4"/>
    </row>
    <row r="20" spans="1:5" s="5" customFormat="1" ht="12.75" customHeight="1" x14ac:dyDescent="0.2">
      <c r="A20" s="12"/>
      <c r="B20" s="12"/>
      <c r="C20" s="12"/>
      <c r="D20" s="4"/>
      <c r="E20" s="4"/>
    </row>
    <row r="21" spans="1:5" s="5" customFormat="1" ht="12.75" customHeight="1" x14ac:dyDescent="0.2">
      <c r="A21" s="324" t="s">
        <v>33</v>
      </c>
      <c r="B21" s="324"/>
      <c r="C21" s="324"/>
      <c r="D21" s="112"/>
      <c r="E21" s="4"/>
    </row>
    <row r="22" spans="1:5" s="5" customFormat="1" ht="25.5" customHeight="1" x14ac:dyDescent="0.2">
      <c r="A22" s="13" t="s">
        <v>16</v>
      </c>
      <c r="B22" s="13" t="s">
        <v>17</v>
      </c>
      <c r="C22" s="13" t="s">
        <v>18</v>
      </c>
      <c r="D22" s="13" t="s">
        <v>19</v>
      </c>
      <c r="E22" s="13" t="s">
        <v>20</v>
      </c>
    </row>
    <row r="23" spans="1:5" s="5" customFormat="1" ht="18.75" customHeight="1" x14ac:dyDescent="0.2">
      <c r="A23" s="8" t="str">
        <f>CONCATENATE(LEFT(A4,3),".1")</f>
        <v>X.1</v>
      </c>
      <c r="B23" s="8" t="s">
        <v>23</v>
      </c>
      <c r="C23" s="14" t="s">
        <v>116</v>
      </c>
      <c r="D23" s="14" t="s">
        <v>84</v>
      </c>
      <c r="E23" s="14" t="s">
        <v>34</v>
      </c>
    </row>
    <row r="24" spans="1:5" s="5" customFormat="1" ht="12.75" customHeight="1" x14ac:dyDescent="0.2">
      <c r="A24" s="12"/>
      <c r="B24" s="12"/>
      <c r="C24" s="12"/>
      <c r="D24" s="4"/>
      <c r="E24" s="4"/>
    </row>
    <row r="26" spans="1:5" s="5" customFormat="1" ht="12.75" customHeight="1" x14ac:dyDescent="0.2">
      <c r="A26" s="324" t="s">
        <v>35</v>
      </c>
      <c r="B26" s="324"/>
      <c r="C26" s="324"/>
      <c r="D26" s="324"/>
      <c r="E26" s="4"/>
    </row>
    <row r="27" spans="1:5" s="5" customFormat="1" ht="27.75" customHeight="1" x14ac:dyDescent="0.2">
      <c r="A27" s="13" t="s">
        <v>16</v>
      </c>
      <c r="B27" s="13" t="s">
        <v>17</v>
      </c>
      <c r="C27" s="13" t="s">
        <v>18</v>
      </c>
      <c r="D27" s="13" t="s">
        <v>19</v>
      </c>
      <c r="E27" s="13" t="s">
        <v>20</v>
      </c>
    </row>
    <row r="28" spans="1:5" s="5" customFormat="1" ht="31.5" customHeight="1" x14ac:dyDescent="0.2">
      <c r="A28" s="8" t="str">
        <f>CONCATENATE(LEFT(A4,3),".1")</f>
        <v>X.1</v>
      </c>
      <c r="B28" s="8" t="s">
        <v>23</v>
      </c>
      <c r="C28" s="19" t="s">
        <v>114</v>
      </c>
      <c r="D28" s="14" t="s">
        <v>86</v>
      </c>
      <c r="E28" s="19" t="s">
        <v>36</v>
      </c>
    </row>
    <row r="29" spans="1:5" s="5" customFormat="1" x14ac:dyDescent="0.2">
      <c r="A29" s="18"/>
      <c r="B29" s="15"/>
      <c r="C29" s="16"/>
      <c r="D29" s="17"/>
      <c r="E29" s="17"/>
    </row>
    <row r="30" spans="1:5" s="5" customFormat="1" x14ac:dyDescent="0.2">
      <c r="A30" s="18"/>
      <c r="B30" s="15"/>
      <c r="C30" s="16"/>
      <c r="D30" s="17"/>
      <c r="E30" s="17"/>
    </row>
    <row r="31" spans="1:5" s="5" customFormat="1" ht="12.75" customHeight="1" x14ac:dyDescent="0.2">
      <c r="A31" s="324" t="s">
        <v>37</v>
      </c>
      <c r="B31" s="324"/>
      <c r="C31" s="324"/>
      <c r="D31" s="112"/>
      <c r="E31" s="4"/>
    </row>
    <row r="32" spans="1:5" s="5" customFormat="1" ht="25.5" x14ac:dyDescent="0.2">
      <c r="A32" s="13" t="s">
        <v>16</v>
      </c>
      <c r="B32" s="13" t="s">
        <v>17</v>
      </c>
      <c r="C32" s="13" t="s">
        <v>18</v>
      </c>
      <c r="D32" s="13" t="s">
        <v>19</v>
      </c>
      <c r="E32" s="13" t="s">
        <v>20</v>
      </c>
    </row>
    <row r="33" spans="1:5" s="5" customFormat="1" ht="32.25" customHeight="1" x14ac:dyDescent="0.2">
      <c r="A33" s="8" t="str">
        <f>CONCATENATE(LEFT(A4,3),".1")</f>
        <v>X.1</v>
      </c>
      <c r="B33" s="8" t="s">
        <v>23</v>
      </c>
      <c r="C33" s="19" t="s">
        <v>115</v>
      </c>
      <c r="D33" s="19" t="s">
        <v>85</v>
      </c>
      <c r="E33" s="19" t="s">
        <v>38</v>
      </c>
    </row>
  </sheetData>
  <sheetProtection selectLockedCells="1" selectUnlockedCells="1"/>
  <mergeCells count="5">
    <mergeCell ref="B4:E4"/>
    <mergeCell ref="A19:D19"/>
    <mergeCell ref="A21:C21"/>
    <mergeCell ref="A26:D26"/>
    <mergeCell ref="A31:C31"/>
  </mergeCells>
  <hyperlinks>
    <hyperlink ref="E1" location="'Z01 MR Summary'!A1" display="Back to Zone 01 MR Summary"/>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6"/>
  <sheetViews>
    <sheetView tabSelected="1" workbookViewId="0">
      <selection activeCell="J48" sqref="J48"/>
    </sheetView>
  </sheetViews>
  <sheetFormatPr defaultRowHeight="12.75" x14ac:dyDescent="0.2"/>
  <cols>
    <col min="1" max="1" width="18.7109375" customWidth="1"/>
    <col min="2" max="2" width="15.5703125" customWidth="1"/>
    <col min="3" max="3" width="6.28515625" customWidth="1"/>
    <col min="4" max="4" width="12.42578125" customWidth="1"/>
    <col min="5" max="5" width="20.42578125" customWidth="1"/>
    <col min="6" max="6" width="13" customWidth="1"/>
    <col min="7" max="7" width="20.85546875" customWidth="1"/>
    <col min="8" max="8" width="31" customWidth="1"/>
    <col min="14" max="14" width="34.7109375" customWidth="1"/>
    <col min="15" max="15" width="33" customWidth="1"/>
    <col min="19" max="19" width="17.5703125" customWidth="1"/>
    <col min="20" max="20" width="36" customWidth="1"/>
    <col min="21" max="21" width="35.28515625" customWidth="1"/>
  </cols>
  <sheetData>
    <row r="1" spans="1:20" ht="40.5" customHeight="1" x14ac:dyDescent="0.25">
      <c r="A1" s="56"/>
      <c r="B1" s="217" t="s">
        <v>230</v>
      </c>
      <c r="C1" s="217"/>
      <c r="D1" s="217"/>
      <c r="E1" s="217"/>
      <c r="F1" s="159"/>
      <c r="G1" s="2"/>
      <c r="H1" s="158" t="s">
        <v>46</v>
      </c>
      <c r="N1" s="284" t="s">
        <v>160</v>
      </c>
      <c r="O1" s="286"/>
      <c r="P1" s="56"/>
      <c r="Q1" s="56"/>
      <c r="S1" s="344"/>
      <c r="T1" s="344"/>
    </row>
    <row r="2" spans="1:20" ht="12.75" customHeight="1" x14ac:dyDescent="0.2">
      <c r="N2" s="310" t="s">
        <v>173</v>
      </c>
      <c r="O2" s="309" t="s">
        <v>228</v>
      </c>
      <c r="P2" s="56"/>
      <c r="Q2" s="56"/>
      <c r="S2" s="345"/>
      <c r="T2" s="346"/>
    </row>
    <row r="3" spans="1:20" ht="12.75" customHeight="1" x14ac:dyDescent="0.2">
      <c r="N3" s="310"/>
      <c r="O3" s="309"/>
      <c r="P3" s="56"/>
      <c r="Q3" s="56"/>
      <c r="S3" s="345"/>
      <c r="T3" s="346"/>
    </row>
    <row r="4" spans="1:20" ht="13.5" customHeight="1" thickBot="1" x14ac:dyDescent="0.25">
      <c r="N4" s="27"/>
      <c r="O4" s="137"/>
      <c r="P4" s="56"/>
      <c r="Q4" s="56"/>
      <c r="S4" s="340"/>
      <c r="T4" s="340"/>
    </row>
    <row r="5" spans="1:20" ht="25.5" x14ac:dyDescent="0.2">
      <c r="A5" s="253" t="s">
        <v>231</v>
      </c>
      <c r="B5" s="253"/>
      <c r="C5" s="253"/>
      <c r="E5" s="284" t="s">
        <v>155</v>
      </c>
      <c r="F5" s="285"/>
      <c r="G5" s="285"/>
      <c r="H5" s="286"/>
      <c r="N5" s="216" t="s">
        <v>186</v>
      </c>
      <c r="O5" s="325" t="s">
        <v>187</v>
      </c>
      <c r="P5" s="56"/>
      <c r="Q5" s="56"/>
      <c r="S5" s="341"/>
      <c r="T5" s="342"/>
    </row>
    <row r="6" spans="1:20" ht="18" x14ac:dyDescent="0.25">
      <c r="A6" s="253"/>
      <c r="B6" s="253"/>
      <c r="C6" s="253"/>
      <c r="E6" s="155"/>
      <c r="F6" s="157"/>
      <c r="G6" s="122"/>
      <c r="H6" s="184"/>
      <c r="N6" s="153"/>
      <c r="O6" s="154"/>
      <c r="P6" s="56"/>
      <c r="Q6" s="56"/>
      <c r="S6" s="336"/>
      <c r="T6" s="343"/>
    </row>
    <row r="7" spans="1:20" ht="12.75" customHeight="1" x14ac:dyDescent="0.2">
      <c r="A7" s="253"/>
      <c r="B7" s="253"/>
      <c r="C7" s="253"/>
      <c r="E7" s="271" t="s">
        <v>233</v>
      </c>
      <c r="F7" s="258" t="s">
        <v>234</v>
      </c>
      <c r="G7" s="258"/>
      <c r="H7" s="266"/>
      <c r="N7" s="311" t="s">
        <v>189</v>
      </c>
      <c r="O7" s="326" t="s">
        <v>188</v>
      </c>
      <c r="P7" s="56"/>
      <c r="Q7" s="56"/>
      <c r="S7" s="346"/>
      <c r="T7" s="347"/>
    </row>
    <row r="8" spans="1:20" ht="24" thickBot="1" x14ac:dyDescent="0.25">
      <c r="A8" s="212"/>
      <c r="B8" s="212"/>
      <c r="C8" s="212"/>
      <c r="E8" s="271"/>
      <c r="F8" s="258"/>
      <c r="G8" s="258"/>
      <c r="H8" s="266"/>
      <c r="N8" s="312"/>
      <c r="O8" s="327"/>
      <c r="P8" s="56"/>
      <c r="Q8" s="56"/>
      <c r="S8" s="346"/>
      <c r="T8" s="347"/>
    </row>
    <row r="9" spans="1:20" x14ac:dyDescent="0.2">
      <c r="A9" s="234" t="s">
        <v>138</v>
      </c>
      <c r="B9" s="235"/>
      <c r="C9" s="236"/>
      <c r="E9" s="214"/>
      <c r="F9" s="258"/>
      <c r="G9" s="258"/>
      <c r="H9" s="266"/>
      <c r="S9" s="56"/>
      <c r="T9" s="56"/>
    </row>
    <row r="10" spans="1:20" x14ac:dyDescent="0.2">
      <c r="A10" s="237"/>
      <c r="B10" s="238"/>
      <c r="C10" s="239"/>
      <c r="E10" s="214"/>
      <c r="F10" s="258"/>
      <c r="G10" s="258"/>
      <c r="H10" s="266"/>
      <c r="S10" s="56"/>
      <c r="T10" s="56"/>
    </row>
    <row r="11" spans="1:20" x14ac:dyDescent="0.2">
      <c r="A11" s="240"/>
      <c r="B11" s="241"/>
      <c r="C11" s="242"/>
      <c r="E11" s="214"/>
      <c r="F11" s="258"/>
      <c r="G11" s="258"/>
      <c r="H11" s="266"/>
      <c r="S11" s="56"/>
      <c r="T11" s="56"/>
    </row>
    <row r="12" spans="1:20" x14ac:dyDescent="0.2">
      <c r="A12" s="56"/>
      <c r="B12" s="56"/>
      <c r="C12" s="56"/>
      <c r="E12" s="214"/>
      <c r="F12" s="258"/>
      <c r="G12" s="258"/>
      <c r="H12" s="266"/>
      <c r="S12" s="56"/>
      <c r="T12" s="56"/>
    </row>
    <row r="13" spans="1:20" x14ac:dyDescent="0.2">
      <c r="A13" s="234" t="s">
        <v>232</v>
      </c>
      <c r="B13" s="235"/>
      <c r="C13" s="236"/>
      <c r="E13" s="214"/>
      <c r="F13" s="258"/>
      <c r="G13" s="258"/>
      <c r="H13" s="266"/>
      <c r="S13" s="56"/>
      <c r="T13" s="56"/>
    </row>
    <row r="14" spans="1:20" ht="18" x14ac:dyDescent="0.25">
      <c r="A14" s="237"/>
      <c r="B14" s="238"/>
      <c r="C14" s="239"/>
      <c r="E14" s="155"/>
      <c r="F14" s="148"/>
      <c r="G14" s="148"/>
      <c r="H14" s="137"/>
      <c r="J14" s="148"/>
      <c r="K14" s="148"/>
      <c r="L14" s="148"/>
      <c r="M14" s="148"/>
      <c r="S14" s="56"/>
      <c r="T14" s="56"/>
    </row>
    <row r="15" spans="1:20" ht="12.75" customHeight="1" x14ac:dyDescent="0.2">
      <c r="A15" s="240"/>
      <c r="B15" s="241"/>
      <c r="C15" s="242"/>
      <c r="E15" s="308" t="s">
        <v>138</v>
      </c>
      <c r="F15" s="258" t="s">
        <v>180</v>
      </c>
      <c r="G15" s="258"/>
      <c r="H15" s="266"/>
      <c r="J15" s="148"/>
      <c r="K15" s="300" t="s">
        <v>203</v>
      </c>
      <c r="L15" s="301"/>
      <c r="M15" s="302"/>
      <c r="N15" s="127"/>
      <c r="O15" s="127"/>
      <c r="P15" s="127"/>
    </row>
    <row r="16" spans="1:20" x14ac:dyDescent="0.2">
      <c r="A16" s="56"/>
      <c r="B16" s="56"/>
      <c r="C16" s="56"/>
      <c r="E16" s="308"/>
      <c r="F16" s="258"/>
      <c r="G16" s="258"/>
      <c r="H16" s="266"/>
      <c r="J16" s="148"/>
      <c r="K16" s="303" t="s">
        <v>204</v>
      </c>
      <c r="L16" s="304"/>
      <c r="M16" s="305"/>
      <c r="N16" s="127"/>
      <c r="O16" s="127"/>
      <c r="P16" s="127"/>
    </row>
    <row r="17" spans="1:27" x14ac:dyDescent="0.2">
      <c r="A17" s="234" t="s">
        <v>61</v>
      </c>
      <c r="B17" s="235"/>
      <c r="C17" s="236"/>
      <c r="E17" s="214"/>
      <c r="F17" s="258"/>
      <c r="G17" s="258"/>
      <c r="H17" s="266"/>
      <c r="J17" s="148"/>
      <c r="K17" s="303"/>
      <c r="L17" s="304"/>
      <c r="M17" s="305"/>
      <c r="N17" s="127"/>
      <c r="O17" s="127"/>
      <c r="P17" s="127"/>
    </row>
    <row r="18" spans="1:27" x14ac:dyDescent="0.2">
      <c r="A18" s="237"/>
      <c r="B18" s="238"/>
      <c r="C18" s="239"/>
      <c r="E18" s="214"/>
      <c r="F18" s="258"/>
      <c r="G18" s="258"/>
      <c r="H18" s="266"/>
      <c r="J18" s="148"/>
      <c r="K18" s="303"/>
      <c r="L18" s="304"/>
      <c r="M18" s="305"/>
      <c r="N18" s="127"/>
      <c r="O18" s="127"/>
      <c r="P18" s="127"/>
    </row>
    <row r="19" spans="1:27" x14ac:dyDescent="0.2">
      <c r="A19" s="240"/>
      <c r="B19" s="241"/>
      <c r="C19" s="242"/>
      <c r="E19" s="214"/>
      <c r="F19" s="258"/>
      <c r="G19" s="258"/>
      <c r="H19" s="266"/>
      <c r="J19" s="148"/>
      <c r="K19" s="303"/>
      <c r="L19" s="304"/>
      <c r="M19" s="305"/>
      <c r="N19" s="127"/>
      <c r="O19" s="127"/>
      <c r="P19" s="127"/>
    </row>
    <row r="20" spans="1:27" ht="23.25" x14ac:dyDescent="0.2">
      <c r="A20" s="212"/>
      <c r="B20" s="212"/>
      <c r="C20" s="212"/>
      <c r="E20" s="214"/>
      <c r="F20" s="258"/>
      <c r="G20" s="258"/>
      <c r="H20" s="266"/>
      <c r="J20" s="148"/>
      <c r="K20" s="306"/>
      <c r="L20" s="331"/>
      <c r="M20" s="307"/>
      <c r="N20" s="127"/>
      <c r="O20" s="127"/>
      <c r="P20" s="127"/>
    </row>
    <row r="21" spans="1:27" x14ac:dyDescent="0.2">
      <c r="A21" s="234" t="s">
        <v>139</v>
      </c>
      <c r="B21" s="235"/>
      <c r="C21" s="236"/>
      <c r="E21" s="173"/>
      <c r="F21" s="258"/>
      <c r="G21" s="258"/>
      <c r="H21" s="266"/>
      <c r="J21" s="148"/>
      <c r="K21" s="148"/>
      <c r="L21" s="148"/>
      <c r="M21" s="148"/>
    </row>
    <row r="22" spans="1:27" x14ac:dyDescent="0.2">
      <c r="A22" s="237"/>
      <c r="B22" s="238"/>
      <c r="C22" s="239"/>
      <c r="E22" s="130"/>
      <c r="F22" s="258"/>
      <c r="G22" s="258"/>
      <c r="H22" s="266"/>
      <c r="J22" s="148"/>
      <c r="K22" s="148"/>
      <c r="L22" s="148"/>
      <c r="M22" s="148"/>
    </row>
    <row r="23" spans="1:27" x14ac:dyDescent="0.2">
      <c r="A23" s="240"/>
      <c r="B23" s="241"/>
      <c r="C23" s="242"/>
      <c r="E23" s="174"/>
      <c r="F23" s="258"/>
      <c r="G23" s="258"/>
      <c r="H23" s="266"/>
    </row>
    <row r="24" spans="1:27" x14ac:dyDescent="0.2">
      <c r="A24" s="56"/>
      <c r="B24" s="56"/>
      <c r="C24" s="56"/>
      <c r="E24" s="174"/>
      <c r="F24" s="148"/>
      <c r="G24" s="148"/>
      <c r="H24" s="137"/>
    </row>
    <row r="25" spans="1:27" ht="12.75" customHeight="1" x14ac:dyDescent="0.2">
      <c r="A25" s="212"/>
      <c r="B25" s="212"/>
      <c r="C25" s="212"/>
      <c r="D25" s="56"/>
      <c r="E25" s="271" t="s">
        <v>232</v>
      </c>
      <c r="F25" s="258" t="s">
        <v>237</v>
      </c>
      <c r="G25" s="258"/>
      <c r="H25" s="266"/>
    </row>
    <row r="26" spans="1:27" ht="12.75" customHeight="1" x14ac:dyDescent="0.2">
      <c r="A26" s="212"/>
      <c r="B26" s="212"/>
      <c r="C26" s="212"/>
      <c r="D26" s="56"/>
      <c r="E26" s="271"/>
      <c r="F26" s="258"/>
      <c r="G26" s="258"/>
      <c r="H26" s="266"/>
      <c r="Q26" s="148"/>
      <c r="R26" s="148"/>
      <c r="S26" s="148"/>
      <c r="T26" s="148"/>
      <c r="U26" s="148"/>
      <c r="V26" s="148"/>
      <c r="W26" s="148"/>
      <c r="X26" s="148"/>
      <c r="Y26" s="148"/>
      <c r="Z26" s="148"/>
      <c r="AA26" s="148"/>
    </row>
    <row r="27" spans="1:27" ht="12.75" customHeight="1" x14ac:dyDescent="0.2">
      <c r="A27" s="212"/>
      <c r="B27" s="212"/>
      <c r="C27" s="212"/>
      <c r="D27" s="56"/>
      <c r="E27" s="130"/>
      <c r="F27" s="258"/>
      <c r="G27" s="258"/>
      <c r="H27" s="266"/>
      <c r="Q27" s="148"/>
      <c r="R27" s="148"/>
      <c r="S27" s="56"/>
      <c r="T27" s="56"/>
      <c r="U27" s="56"/>
      <c r="V27" s="148"/>
      <c r="W27" s="148"/>
      <c r="X27" s="339"/>
      <c r="Y27" s="339"/>
      <c r="Z27" s="339"/>
      <c r="AA27" s="148"/>
    </row>
    <row r="28" spans="1:27" x14ac:dyDescent="0.2">
      <c r="A28" s="148"/>
      <c r="B28" s="148"/>
      <c r="C28" s="148"/>
      <c r="D28" s="56"/>
      <c r="E28" s="174"/>
      <c r="F28" s="258"/>
      <c r="G28" s="258"/>
      <c r="H28" s="266"/>
      <c r="Q28" s="148"/>
      <c r="R28" s="148"/>
      <c r="S28" s="56"/>
      <c r="T28" s="56"/>
      <c r="U28" s="56"/>
      <c r="V28" s="148"/>
      <c r="W28" s="148"/>
      <c r="X28" s="116"/>
      <c r="Y28" s="116"/>
      <c r="Z28" s="116"/>
      <c r="AA28" s="148"/>
    </row>
    <row r="29" spans="1:27" ht="12.75" customHeight="1" x14ac:dyDescent="0.2">
      <c r="A29" s="212"/>
      <c r="B29" s="212"/>
      <c r="C29" s="212"/>
      <c r="D29" s="56"/>
      <c r="E29" s="174"/>
      <c r="F29" s="258"/>
      <c r="G29" s="258"/>
      <c r="H29" s="266"/>
      <c r="Q29" s="148"/>
      <c r="R29" s="148"/>
      <c r="S29" s="56"/>
      <c r="T29" s="56"/>
      <c r="U29" s="56"/>
      <c r="V29" s="148"/>
      <c r="W29" s="148"/>
      <c r="X29" s="116"/>
      <c r="Y29" s="116"/>
      <c r="Z29" s="116"/>
      <c r="AA29" s="148"/>
    </row>
    <row r="30" spans="1:27" ht="12.75" customHeight="1" x14ac:dyDescent="0.2">
      <c r="A30" s="212"/>
      <c r="B30" s="212"/>
      <c r="C30" s="212"/>
      <c r="D30" s="56"/>
      <c r="E30" s="174"/>
      <c r="F30" s="186"/>
      <c r="G30" s="186"/>
      <c r="H30" s="187"/>
      <c r="Q30" s="148"/>
      <c r="R30" s="148"/>
      <c r="S30" s="56"/>
      <c r="T30" s="56"/>
      <c r="U30" s="56"/>
      <c r="V30" s="148"/>
      <c r="W30" s="148"/>
      <c r="X30" s="116"/>
      <c r="Y30" s="116"/>
      <c r="Z30" s="116"/>
      <c r="AA30" s="148"/>
    </row>
    <row r="31" spans="1:27" ht="12.75" customHeight="1" x14ac:dyDescent="0.2">
      <c r="A31" s="212"/>
      <c r="B31" s="212"/>
      <c r="C31" s="212"/>
      <c r="D31" s="56"/>
      <c r="E31" s="130"/>
      <c r="F31" s="148"/>
      <c r="G31" s="148"/>
      <c r="H31" s="137"/>
      <c r="Q31" s="148"/>
      <c r="R31" s="148"/>
      <c r="S31" s="56"/>
      <c r="T31" s="56"/>
      <c r="U31" s="56"/>
      <c r="V31" s="148"/>
      <c r="W31" s="148"/>
      <c r="X31" s="116"/>
      <c r="Y31" s="116"/>
      <c r="Z31" s="116"/>
      <c r="AA31" s="148"/>
    </row>
    <row r="32" spans="1:27" ht="27.75" customHeight="1" x14ac:dyDescent="0.2">
      <c r="A32" s="148"/>
      <c r="B32" s="148"/>
      <c r="C32" s="148"/>
      <c r="D32" s="56"/>
      <c r="E32" s="214" t="s">
        <v>61</v>
      </c>
      <c r="F32" s="258" t="s">
        <v>235</v>
      </c>
      <c r="G32" s="258"/>
      <c r="H32" s="266"/>
      <c r="Q32" s="148"/>
      <c r="R32" s="148"/>
      <c r="S32" s="56"/>
      <c r="T32" s="56"/>
      <c r="U32" s="56"/>
      <c r="V32" s="148"/>
      <c r="W32" s="148"/>
      <c r="X32" s="116"/>
      <c r="Y32" s="116"/>
      <c r="Z32" s="116"/>
      <c r="AA32" s="148"/>
    </row>
    <row r="33" spans="1:27" ht="12.75" customHeight="1" x14ac:dyDescent="0.2">
      <c r="A33" s="215"/>
      <c r="B33" s="215"/>
      <c r="C33" s="215"/>
      <c r="D33" s="56"/>
      <c r="E33" s="214"/>
      <c r="F33" s="211"/>
      <c r="G33" s="211"/>
      <c r="H33" s="213"/>
      <c r="Q33" s="148"/>
      <c r="R33" s="148"/>
      <c r="S33" s="56"/>
      <c r="T33" s="56"/>
      <c r="U33" s="56"/>
      <c r="V33" s="148"/>
      <c r="W33" s="148"/>
      <c r="X33" s="148"/>
      <c r="Y33" s="148"/>
      <c r="Z33" s="148"/>
      <c r="AA33" s="148"/>
    </row>
    <row r="34" spans="1:27" ht="12.75" customHeight="1" x14ac:dyDescent="0.2">
      <c r="A34" s="215"/>
      <c r="B34" s="215"/>
      <c r="C34" s="215"/>
      <c r="D34" s="56"/>
      <c r="E34" s="174"/>
      <c r="F34" s="211"/>
      <c r="G34" s="211"/>
      <c r="H34" s="213"/>
      <c r="Q34" s="148"/>
      <c r="R34" s="148"/>
      <c r="S34" s="56"/>
      <c r="T34" s="56"/>
      <c r="U34" s="56"/>
      <c r="V34" s="148"/>
      <c r="W34" s="148"/>
      <c r="X34" s="148"/>
      <c r="Y34" s="148"/>
      <c r="Z34" s="148"/>
      <c r="AA34" s="148"/>
    </row>
    <row r="35" spans="1:27" ht="12.75" customHeight="1" x14ac:dyDescent="0.2">
      <c r="A35" s="215"/>
      <c r="B35" s="215"/>
      <c r="C35" s="215"/>
      <c r="D35" s="56"/>
      <c r="E35" s="174"/>
      <c r="F35" s="211"/>
      <c r="G35" s="211"/>
      <c r="H35" s="213"/>
      <c r="Q35" s="148"/>
      <c r="R35" s="148"/>
      <c r="S35" s="56"/>
      <c r="T35" s="56"/>
      <c r="U35" s="56"/>
      <c r="V35" s="148"/>
      <c r="W35" s="148"/>
      <c r="X35" s="148"/>
      <c r="Y35" s="148"/>
      <c r="Z35" s="148"/>
      <c r="AA35" s="148"/>
    </row>
    <row r="36" spans="1:27" x14ac:dyDescent="0.2">
      <c r="A36" s="148"/>
      <c r="B36" s="148"/>
      <c r="C36" s="148"/>
      <c r="D36" s="56"/>
      <c r="E36" s="174"/>
      <c r="F36" s="29"/>
      <c r="G36" s="122"/>
      <c r="H36" s="184"/>
      <c r="Q36" s="148"/>
      <c r="R36" s="148"/>
      <c r="S36" s="148"/>
      <c r="T36" s="148"/>
      <c r="U36" s="148"/>
      <c r="V36" s="148"/>
      <c r="W36" s="148"/>
      <c r="X36" s="148"/>
      <c r="Y36" s="148"/>
      <c r="Z36" s="148"/>
      <c r="AA36" s="148"/>
    </row>
    <row r="37" spans="1:27" ht="12.75" customHeight="1" x14ac:dyDescent="0.2">
      <c r="A37" s="212"/>
      <c r="B37" s="212"/>
      <c r="C37" s="212"/>
      <c r="D37" s="56"/>
      <c r="E37" s="308" t="s">
        <v>139</v>
      </c>
      <c r="F37" s="330" t="s">
        <v>236</v>
      </c>
      <c r="G37" s="258"/>
      <c r="H37" s="266"/>
      <c r="Q37" s="148"/>
      <c r="R37" s="148"/>
      <c r="S37" s="148"/>
      <c r="T37" s="148"/>
      <c r="U37" s="148"/>
      <c r="V37" s="148"/>
      <c r="W37" s="148"/>
      <c r="X37" s="148"/>
      <c r="Y37" s="148"/>
      <c r="Z37" s="148"/>
      <c r="AA37" s="148"/>
    </row>
    <row r="38" spans="1:27" ht="12.75" customHeight="1" x14ac:dyDescent="0.2">
      <c r="A38" s="212"/>
      <c r="B38" s="212"/>
      <c r="C38" s="212"/>
      <c r="D38" s="56"/>
      <c r="E38" s="308"/>
      <c r="F38" s="258"/>
      <c r="G38" s="258"/>
      <c r="H38" s="266"/>
      <c r="R38" s="148"/>
      <c r="S38" s="148"/>
      <c r="T38" s="148"/>
      <c r="U38" s="148"/>
    </row>
    <row r="39" spans="1:27" ht="13.5" customHeight="1" x14ac:dyDescent="0.2">
      <c r="A39" s="212"/>
      <c r="B39" s="212"/>
      <c r="C39" s="212"/>
      <c r="D39" s="56"/>
      <c r="E39" s="174"/>
      <c r="F39" s="258"/>
      <c r="G39" s="258"/>
      <c r="H39" s="266"/>
      <c r="R39" s="148"/>
      <c r="S39" s="148"/>
      <c r="T39" s="148"/>
      <c r="U39" s="148"/>
    </row>
    <row r="40" spans="1:27" ht="18" customHeight="1" thickBot="1" x14ac:dyDescent="0.3">
      <c r="A40" s="56"/>
      <c r="B40" s="56"/>
      <c r="C40" s="56"/>
      <c r="D40" s="56"/>
      <c r="E40" s="163"/>
      <c r="F40" s="296"/>
      <c r="G40" s="296"/>
      <c r="H40" s="267"/>
      <c r="R40" s="148"/>
      <c r="S40" s="332"/>
      <c r="T40" s="332"/>
      <c r="U40" s="148"/>
    </row>
    <row r="41" spans="1:27" ht="18" x14ac:dyDescent="0.25">
      <c r="A41" s="56"/>
      <c r="B41" s="56"/>
      <c r="C41" s="56"/>
      <c r="D41" s="56"/>
      <c r="E41" s="56"/>
      <c r="F41" s="56"/>
      <c r="G41" s="56"/>
      <c r="H41" s="56"/>
      <c r="I41" s="56"/>
      <c r="R41" s="148"/>
      <c r="S41" s="157"/>
      <c r="T41" s="157"/>
      <c r="U41" s="148"/>
    </row>
    <row r="42" spans="1:27" x14ac:dyDescent="0.2">
      <c r="D42" s="56"/>
      <c r="E42" s="56"/>
      <c r="F42" s="56"/>
      <c r="G42" s="56"/>
      <c r="H42" s="56"/>
      <c r="I42" s="56"/>
      <c r="R42" s="148"/>
      <c r="S42" s="333"/>
      <c r="T42" s="334"/>
      <c r="U42" s="148"/>
    </row>
    <row r="43" spans="1:27" x14ac:dyDescent="0.2">
      <c r="R43" s="148"/>
      <c r="S43" s="333"/>
      <c r="T43" s="334"/>
      <c r="U43" s="148"/>
    </row>
    <row r="44" spans="1:27" x14ac:dyDescent="0.2">
      <c r="R44" s="148"/>
      <c r="S44" s="148"/>
      <c r="T44" s="148"/>
      <c r="U44" s="148"/>
    </row>
    <row r="45" spans="1:27" x14ac:dyDescent="0.2">
      <c r="R45" s="148"/>
      <c r="S45" s="335"/>
      <c r="T45" s="193"/>
      <c r="U45" s="148"/>
    </row>
    <row r="46" spans="1:27" x14ac:dyDescent="0.2">
      <c r="R46" s="148"/>
      <c r="S46" s="336"/>
      <c r="T46" s="81"/>
      <c r="U46" s="148"/>
    </row>
    <row r="47" spans="1:27" x14ac:dyDescent="0.2">
      <c r="R47" s="148"/>
      <c r="S47" s="337"/>
      <c r="T47" s="338"/>
      <c r="U47" s="148"/>
    </row>
    <row r="48" spans="1:27" x14ac:dyDescent="0.2">
      <c r="R48" s="148"/>
      <c r="S48" s="337"/>
      <c r="T48" s="338"/>
      <c r="U48" s="148"/>
    </row>
    <row r="49" spans="5:21" x14ac:dyDescent="0.2">
      <c r="R49" s="148"/>
      <c r="S49" s="148"/>
      <c r="T49" s="148"/>
      <c r="U49" s="148"/>
    </row>
    <row r="50" spans="5:21" x14ac:dyDescent="0.2">
      <c r="E50" s="56"/>
      <c r="F50" s="56"/>
      <c r="G50" s="56"/>
      <c r="H50" s="56"/>
      <c r="R50" s="148"/>
      <c r="S50" s="148"/>
      <c r="T50" s="148"/>
      <c r="U50" s="148"/>
    </row>
    <row r="51" spans="5:21" x14ac:dyDescent="0.2">
      <c r="E51" s="56"/>
      <c r="F51" s="56"/>
      <c r="G51" s="56"/>
      <c r="H51" s="56"/>
      <c r="R51" s="148"/>
      <c r="S51" s="148"/>
      <c r="T51" s="148"/>
      <c r="U51" s="148"/>
    </row>
    <row r="52" spans="5:21" x14ac:dyDescent="0.2">
      <c r="E52" s="56"/>
      <c r="F52" s="56"/>
      <c r="G52" s="56"/>
      <c r="H52" s="56"/>
    </row>
    <row r="53" spans="5:21" x14ac:dyDescent="0.2">
      <c r="E53" s="56"/>
      <c r="F53" s="56"/>
      <c r="G53" s="56"/>
      <c r="H53" s="56"/>
    </row>
    <row r="54" spans="5:21" x14ac:dyDescent="0.2">
      <c r="E54" s="56"/>
      <c r="F54" s="56"/>
      <c r="G54" s="56"/>
      <c r="H54" s="56"/>
    </row>
    <row r="55" spans="5:21" x14ac:dyDescent="0.2">
      <c r="E55" s="56"/>
      <c r="F55" s="56"/>
      <c r="G55" s="56"/>
      <c r="H55" s="56"/>
    </row>
    <row r="56" spans="5:21" x14ac:dyDescent="0.2">
      <c r="E56" s="56"/>
      <c r="F56" s="56"/>
      <c r="G56" s="56"/>
      <c r="H56" s="56"/>
    </row>
    <row r="57" spans="5:21" x14ac:dyDescent="0.2">
      <c r="E57" s="56"/>
      <c r="F57" s="56"/>
      <c r="G57" s="56"/>
      <c r="H57" s="56"/>
    </row>
    <row r="58" spans="5:21" x14ac:dyDescent="0.2">
      <c r="E58" s="56"/>
      <c r="F58" s="56"/>
      <c r="G58" s="56"/>
      <c r="H58" s="56"/>
    </row>
    <row r="59" spans="5:21" x14ac:dyDescent="0.2">
      <c r="E59" s="56"/>
      <c r="F59" s="56"/>
      <c r="G59" s="56"/>
      <c r="H59" s="56"/>
    </row>
    <row r="60" spans="5:21" x14ac:dyDescent="0.2">
      <c r="E60" s="56"/>
      <c r="F60" s="56"/>
      <c r="G60" s="56"/>
      <c r="H60" s="56"/>
    </row>
    <row r="61" spans="5:21" x14ac:dyDescent="0.2">
      <c r="E61" s="56"/>
      <c r="F61" s="56"/>
      <c r="G61" s="56"/>
      <c r="H61" s="56"/>
    </row>
    <row r="62" spans="5:21" x14ac:dyDescent="0.2">
      <c r="E62" s="56"/>
      <c r="F62" s="56"/>
      <c r="G62" s="56"/>
      <c r="H62" s="56"/>
    </row>
    <row r="63" spans="5:21" x14ac:dyDescent="0.2">
      <c r="E63" s="56"/>
      <c r="F63" s="56"/>
      <c r="G63" s="56"/>
      <c r="H63" s="56"/>
    </row>
    <row r="64" spans="5:21" x14ac:dyDescent="0.2">
      <c r="E64" s="56"/>
      <c r="F64" s="56"/>
      <c r="G64" s="56"/>
      <c r="H64" s="56"/>
    </row>
    <row r="65" spans="5:8" x14ac:dyDescent="0.2">
      <c r="E65" s="56"/>
      <c r="F65" s="56"/>
      <c r="G65" s="56"/>
      <c r="H65" s="56"/>
    </row>
    <row r="66" spans="5:8" x14ac:dyDescent="0.2">
      <c r="E66" s="56"/>
      <c r="F66" s="56"/>
      <c r="G66" s="56"/>
      <c r="H66" s="56"/>
    </row>
    <row r="67" spans="5:8" x14ac:dyDescent="0.2">
      <c r="E67" s="56"/>
      <c r="F67" s="56"/>
      <c r="G67" s="56"/>
      <c r="H67" s="56"/>
    </row>
    <row r="68" spans="5:8" x14ac:dyDescent="0.2">
      <c r="E68" s="56"/>
      <c r="F68" s="56"/>
      <c r="G68" s="56"/>
      <c r="H68" s="56"/>
    </row>
    <row r="69" spans="5:8" x14ac:dyDescent="0.2">
      <c r="E69" s="56"/>
      <c r="F69" s="56"/>
      <c r="G69" s="56"/>
      <c r="H69" s="56"/>
    </row>
    <row r="70" spans="5:8" x14ac:dyDescent="0.2">
      <c r="E70" s="56"/>
      <c r="F70" s="56"/>
      <c r="G70" s="56"/>
      <c r="H70" s="56"/>
    </row>
    <row r="71" spans="5:8" x14ac:dyDescent="0.2">
      <c r="E71" s="56"/>
      <c r="F71" s="56"/>
      <c r="G71" s="56"/>
      <c r="H71" s="56"/>
    </row>
    <row r="72" spans="5:8" x14ac:dyDescent="0.2">
      <c r="E72" s="56"/>
      <c r="F72" s="56"/>
      <c r="G72" s="56"/>
      <c r="H72" s="56"/>
    </row>
    <row r="73" spans="5:8" x14ac:dyDescent="0.2">
      <c r="E73" s="56"/>
      <c r="F73" s="56"/>
      <c r="G73" s="56"/>
      <c r="H73" s="56"/>
    </row>
    <row r="74" spans="5:8" x14ac:dyDescent="0.2">
      <c r="E74" s="56"/>
      <c r="F74" s="56"/>
      <c r="G74" s="56"/>
      <c r="H74" s="56"/>
    </row>
    <row r="75" spans="5:8" x14ac:dyDescent="0.2">
      <c r="E75" s="56"/>
      <c r="F75" s="56"/>
      <c r="G75" s="56"/>
      <c r="H75" s="56"/>
    </row>
    <row r="76" spans="5:8" x14ac:dyDescent="0.2">
      <c r="E76" s="56"/>
      <c r="F76" s="56"/>
      <c r="G76" s="56"/>
      <c r="H76" s="56"/>
    </row>
    <row r="77" spans="5:8" x14ac:dyDescent="0.2">
      <c r="E77" s="56"/>
      <c r="F77" s="56"/>
      <c r="G77" s="56"/>
      <c r="H77" s="56"/>
    </row>
    <row r="78" spans="5:8" x14ac:dyDescent="0.2">
      <c r="E78" s="56"/>
      <c r="F78" s="56"/>
      <c r="G78" s="56"/>
      <c r="H78" s="56"/>
    </row>
    <row r="79" spans="5:8" x14ac:dyDescent="0.2">
      <c r="E79" s="56"/>
      <c r="F79" s="56"/>
      <c r="G79" s="56"/>
      <c r="H79" s="56"/>
    </row>
    <row r="80" spans="5:8" x14ac:dyDescent="0.2">
      <c r="E80" s="56"/>
      <c r="F80" s="56"/>
      <c r="G80" s="56"/>
      <c r="H80" s="56"/>
    </row>
    <row r="81" spans="5:8" x14ac:dyDescent="0.2">
      <c r="E81" s="56"/>
      <c r="F81" s="56"/>
      <c r="G81" s="56"/>
      <c r="H81" s="56"/>
    </row>
    <row r="82" spans="5:8" x14ac:dyDescent="0.2">
      <c r="E82" s="56"/>
      <c r="F82" s="56"/>
      <c r="G82" s="56"/>
      <c r="H82" s="56"/>
    </row>
    <row r="83" spans="5:8" x14ac:dyDescent="0.2">
      <c r="E83" s="56"/>
      <c r="F83" s="56"/>
      <c r="G83" s="56"/>
      <c r="H83" s="56"/>
    </row>
    <row r="84" spans="5:8" x14ac:dyDescent="0.2">
      <c r="E84" s="56"/>
      <c r="F84" s="56"/>
      <c r="G84" s="56"/>
      <c r="H84" s="56"/>
    </row>
    <row r="85" spans="5:8" x14ac:dyDescent="0.2">
      <c r="E85" s="56"/>
      <c r="F85" s="56"/>
      <c r="G85" s="56"/>
      <c r="H85" s="56"/>
    </row>
    <row r="86" spans="5:8" x14ac:dyDescent="0.2">
      <c r="E86" s="56"/>
      <c r="F86" s="56"/>
      <c r="G86" s="56"/>
      <c r="H86" s="56"/>
    </row>
    <row r="87" spans="5:8" x14ac:dyDescent="0.2">
      <c r="E87" s="56"/>
      <c r="F87" s="56"/>
      <c r="G87" s="56"/>
      <c r="H87" s="56"/>
    </row>
    <row r="88" spans="5:8" x14ac:dyDescent="0.2">
      <c r="E88" s="56"/>
      <c r="F88" s="56"/>
      <c r="G88" s="56"/>
      <c r="H88" s="56"/>
    </row>
    <row r="89" spans="5:8" x14ac:dyDescent="0.2">
      <c r="E89" s="56"/>
      <c r="F89" s="56"/>
      <c r="G89" s="56"/>
      <c r="H89" s="56"/>
    </row>
    <row r="90" spans="5:8" x14ac:dyDescent="0.2">
      <c r="E90" s="56"/>
      <c r="F90" s="56"/>
      <c r="G90" s="56"/>
      <c r="H90" s="56"/>
    </row>
    <row r="91" spans="5:8" x14ac:dyDescent="0.2">
      <c r="E91" s="56"/>
      <c r="F91" s="56"/>
      <c r="G91" s="56"/>
      <c r="H91" s="56"/>
    </row>
    <row r="92" spans="5:8" x14ac:dyDescent="0.2">
      <c r="E92" s="56"/>
      <c r="F92" s="56"/>
      <c r="G92" s="56"/>
      <c r="H92" s="56"/>
    </row>
    <row r="93" spans="5:8" x14ac:dyDescent="0.2">
      <c r="E93" s="56"/>
      <c r="F93" s="56"/>
      <c r="G93" s="56"/>
      <c r="H93" s="56"/>
    </row>
    <row r="94" spans="5:8" x14ac:dyDescent="0.2">
      <c r="E94" s="56"/>
      <c r="F94" s="56"/>
      <c r="G94" s="56"/>
      <c r="H94" s="56"/>
    </row>
    <row r="95" spans="5:8" x14ac:dyDescent="0.2">
      <c r="E95" s="56"/>
      <c r="F95" s="56"/>
      <c r="G95" s="56"/>
      <c r="H95" s="56"/>
    </row>
    <row r="96" spans="5:8" x14ac:dyDescent="0.2">
      <c r="E96" s="56"/>
      <c r="F96" s="56"/>
      <c r="G96" s="56"/>
      <c r="H96" s="56"/>
    </row>
  </sheetData>
  <mergeCells count="27">
    <mergeCell ref="F32:H32"/>
    <mergeCell ref="N1:O1"/>
    <mergeCell ref="N2:N3"/>
    <mergeCell ref="O2:O3"/>
    <mergeCell ref="N7:N8"/>
    <mergeCell ref="O7:O8"/>
    <mergeCell ref="K15:M15"/>
    <mergeCell ref="K16:M20"/>
    <mergeCell ref="E37:E38"/>
    <mergeCell ref="F37:H40"/>
    <mergeCell ref="E5:H5"/>
    <mergeCell ref="E7:E8"/>
    <mergeCell ref="F7:H13"/>
    <mergeCell ref="E15:E16"/>
    <mergeCell ref="F15:H23"/>
    <mergeCell ref="E25:E26"/>
    <mergeCell ref="F25:H29"/>
    <mergeCell ref="S47:S48"/>
    <mergeCell ref="T47:T48"/>
    <mergeCell ref="A5:C7"/>
    <mergeCell ref="A9:C11"/>
    <mergeCell ref="A13:C15"/>
    <mergeCell ref="A17:C19"/>
    <mergeCell ref="A21:C23"/>
    <mergeCell ref="S40:T40"/>
    <mergeCell ref="S42:S43"/>
    <mergeCell ref="T42:T43"/>
  </mergeCells>
  <hyperlinks>
    <hyperlink ref="H1" location="Home!A5" display="Home"/>
    <hyperlink ref="O7:O8" r:id="rId1" location=":~:text=in%20water%20%5BPAA%20~50%2C000%5D,-CAS%20Number%3A&amp;text=Polyacrylic%20acid%20(PAA)%20is%20a,%2C%20adhesives%2C%20and%20emulsion%20paints." display="to order \ details"/>
    <hyperlink ref="O7" r:id="rId2" location=":~:text=in%20water%20%5BPAA%20~50%2C000%5D,-CAS%20Number%3A&amp;text=Polyacrylic%20acid%20(PAA)%20is%20a,%2C%20adhesives%2C%20and%20emulsion%20paints." display="https://www.polysciences.com/german/poly-acrylic-acid-25-soln-in-water-mw-50-000#:~:text=in%20water%20%5BPAA%20~50%2C000%5D,-CAS%20Number%3A&amp;text=Polyacrylic%20acid%20(PAA)%20is%20a,%2C%20adhesives%2C%20and%20emulsion%20paints."/>
    <hyperlink ref="O5" r:id="rId3"/>
  </hyperlinks>
  <pageMargins left="0.7" right="0.7" top="0.75" bottom="0.75" header="0.3" footer="0.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8"/>
  <sheetViews>
    <sheetView workbookViewId="0"/>
  </sheetViews>
  <sheetFormatPr defaultColWidth="11.42578125" defaultRowHeight="12.75" x14ac:dyDescent="0.2"/>
  <sheetData>
    <row r="2" spans="1:10" ht="18" x14ac:dyDescent="0.25">
      <c r="I2" s="49" t="s">
        <v>46</v>
      </c>
    </row>
    <row r="8" spans="1:10" x14ac:dyDescent="0.2">
      <c r="A8" s="20"/>
      <c r="B8" s="20"/>
      <c r="C8" s="20"/>
      <c r="D8" s="20"/>
      <c r="J8" s="26" t="s">
        <v>140</v>
      </c>
    </row>
    <row r="9" spans="1:10" x14ac:dyDescent="0.2">
      <c r="A9" s="20"/>
      <c r="B9" s="20" t="s">
        <v>39</v>
      </c>
      <c r="C9" s="20" t="s">
        <v>40</v>
      </c>
      <c r="D9" s="20"/>
    </row>
    <row r="10" spans="1:10" x14ac:dyDescent="0.2">
      <c r="A10" s="20"/>
      <c r="B10" s="20">
        <v>0</v>
      </c>
      <c r="C10" s="20">
        <v>0</v>
      </c>
      <c r="D10" s="20"/>
    </row>
    <row r="11" spans="1:10" x14ac:dyDescent="0.2">
      <c r="A11" s="20"/>
      <c r="B11" s="20">
        <v>5</v>
      </c>
      <c r="C11" s="20">
        <v>500</v>
      </c>
      <c r="D11" s="20"/>
    </row>
    <row r="12" spans="1:10" x14ac:dyDescent="0.2">
      <c r="A12" s="20">
        <v>5</v>
      </c>
      <c r="B12" s="20">
        <v>10</v>
      </c>
      <c r="C12" s="20">
        <v>500</v>
      </c>
      <c r="D12" s="20"/>
    </row>
    <row r="13" spans="1:10" x14ac:dyDescent="0.2">
      <c r="A13" s="20">
        <v>15</v>
      </c>
      <c r="B13" s="20">
        <v>25</v>
      </c>
      <c r="C13" s="20">
        <v>2000</v>
      </c>
      <c r="D13" s="20"/>
    </row>
    <row r="14" spans="1:10" x14ac:dyDescent="0.2">
      <c r="A14" s="20">
        <v>40</v>
      </c>
      <c r="B14" s="20">
        <v>65</v>
      </c>
      <c r="C14" s="20">
        <v>2000</v>
      </c>
      <c r="D14" s="20"/>
    </row>
    <row r="15" spans="1:10" x14ac:dyDescent="0.2">
      <c r="A15" s="20">
        <v>1</v>
      </c>
      <c r="B15" s="20">
        <v>66</v>
      </c>
      <c r="C15" s="20">
        <v>3000</v>
      </c>
      <c r="D15" s="20"/>
    </row>
    <row r="16" spans="1:10" x14ac:dyDescent="0.2">
      <c r="A16" s="20">
        <v>1</v>
      </c>
      <c r="B16" s="20">
        <v>67</v>
      </c>
      <c r="C16" s="20"/>
      <c r="D16" s="20"/>
    </row>
    <row r="17" spans="1:4" x14ac:dyDescent="0.2">
      <c r="A17" s="20">
        <v>5</v>
      </c>
      <c r="B17" s="20">
        <v>72</v>
      </c>
      <c r="C17" s="20"/>
      <c r="D17" s="20"/>
    </row>
    <row r="18" spans="1:4" x14ac:dyDescent="0.2">
      <c r="A18" s="20">
        <v>20</v>
      </c>
      <c r="B18" s="20">
        <v>92</v>
      </c>
      <c r="C18" s="20"/>
      <c r="D18" s="20"/>
    </row>
  </sheetData>
  <sheetProtection selectLockedCells="1" selectUnlockedCells="1"/>
  <hyperlinks>
    <hyperlink ref="I2" location="Home!A5" display="Home"/>
    <hyperlink ref="J8" r:id="rId1"/>
  </hyperlinks>
  <pageMargins left="0.7" right="0.7" top="0.75" bottom="0.75" header="0.51180555555555551" footer="0.51180555555555551"/>
  <pageSetup paperSize="9" firstPageNumber="0" orientation="portrait" horizontalDpi="300" verticalDpi="300"/>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K14" sqref="K14"/>
    </sheetView>
  </sheetViews>
  <sheetFormatPr defaultColWidth="11.42578125" defaultRowHeight="12.75" x14ac:dyDescent="0.2"/>
  <cols>
    <col min="1" max="1" width="15" style="56" customWidth="1"/>
    <col min="2" max="2" width="15.42578125" style="56" customWidth="1"/>
    <col min="3" max="5" width="15" style="56" customWidth="1"/>
    <col min="6" max="16384" width="11.42578125" style="56"/>
  </cols>
  <sheetData>
    <row r="1" spans="1:8" ht="18" x14ac:dyDescent="0.25">
      <c r="A1" s="21" t="s">
        <v>81</v>
      </c>
      <c r="E1" s="49" t="s">
        <v>46</v>
      </c>
    </row>
    <row r="2" spans="1:8" ht="39.75" x14ac:dyDescent="0.2">
      <c r="A2" s="68" t="s">
        <v>41</v>
      </c>
      <c r="B2" s="68" t="s">
        <v>42</v>
      </c>
      <c r="C2" s="68"/>
      <c r="D2" s="68" t="s">
        <v>42</v>
      </c>
      <c r="E2" s="68" t="s">
        <v>43</v>
      </c>
      <c r="F2" s="68" t="s">
        <v>71</v>
      </c>
      <c r="G2" s="68" t="s">
        <v>73</v>
      </c>
      <c r="H2" s="68" t="s">
        <v>75</v>
      </c>
    </row>
    <row r="3" spans="1:8" x14ac:dyDescent="0.2">
      <c r="A3" s="68">
        <v>1000</v>
      </c>
      <c r="B3" s="68">
        <v>80</v>
      </c>
      <c r="C3" s="68"/>
      <c r="D3" s="68">
        <v>10</v>
      </c>
      <c r="E3" s="68">
        <v>200</v>
      </c>
      <c r="F3" s="68">
        <v>3</v>
      </c>
      <c r="G3" s="68">
        <v>2</v>
      </c>
      <c r="H3" s="68">
        <v>3</v>
      </c>
    </row>
    <row r="4" spans="1:8" ht="12.75" customHeight="1" x14ac:dyDescent="0.2">
      <c r="A4" s="22">
        <v>2000</v>
      </c>
      <c r="B4" s="22">
        <v>39</v>
      </c>
      <c r="C4" s="22"/>
      <c r="D4" s="22">
        <v>4</v>
      </c>
      <c r="E4" s="103">
        <v>100</v>
      </c>
      <c r="F4" s="22">
        <v>2</v>
      </c>
      <c r="G4" s="22">
        <v>1</v>
      </c>
      <c r="H4" s="22">
        <v>1</v>
      </c>
    </row>
    <row r="5" spans="1:8" ht="12.75" customHeight="1" x14ac:dyDescent="0.2">
      <c r="A5" s="22">
        <v>3000</v>
      </c>
      <c r="B5" s="22">
        <v>27</v>
      </c>
      <c r="C5" s="22"/>
      <c r="D5" s="22"/>
      <c r="E5" s="103"/>
    </row>
    <row r="6" spans="1:8" x14ac:dyDescent="0.2">
      <c r="A6" s="22">
        <v>4000</v>
      </c>
      <c r="B6" s="22">
        <v>19</v>
      </c>
      <c r="C6" s="22"/>
      <c r="D6" s="22"/>
      <c r="E6" s="103"/>
    </row>
    <row r="7" spans="1:8" x14ac:dyDescent="0.2">
      <c r="A7" s="22">
        <v>5000</v>
      </c>
      <c r="B7" s="22">
        <v>16</v>
      </c>
      <c r="C7" s="22"/>
      <c r="D7" s="22"/>
      <c r="E7" s="22"/>
    </row>
    <row r="8" spans="1:8" x14ac:dyDescent="0.2">
      <c r="A8" s="22"/>
      <c r="B8" s="22"/>
      <c r="C8" s="22"/>
      <c r="D8" s="22"/>
      <c r="E8" s="22"/>
    </row>
    <row r="12" spans="1:8" ht="38.25" x14ac:dyDescent="0.2">
      <c r="A12" s="69"/>
      <c r="B12" s="101" t="s">
        <v>64</v>
      </c>
      <c r="C12" s="101" t="s">
        <v>41</v>
      </c>
      <c r="D12" s="101" t="s">
        <v>63</v>
      </c>
      <c r="E12" s="101" t="s">
        <v>72</v>
      </c>
      <c r="F12" s="101" t="s">
        <v>74</v>
      </c>
      <c r="G12" s="101" t="s">
        <v>76</v>
      </c>
    </row>
    <row r="13" spans="1:8" x14ac:dyDescent="0.2">
      <c r="A13" s="110" t="s">
        <v>45</v>
      </c>
      <c r="B13" s="67">
        <f>'Z01 MR Summary'!F6</f>
        <v>50</v>
      </c>
      <c r="C13" s="2">
        <f>(B13/84365)^(-1/1.008)</f>
        <v>1590.6684572694592</v>
      </c>
      <c r="D13" s="2">
        <f>B13*5+200</f>
        <v>450</v>
      </c>
      <c r="E13" s="106">
        <f>B13*0.0625+3.75</f>
        <v>6.875</v>
      </c>
      <c r="F13" s="106">
        <f>B13*0.0625+3.75</f>
        <v>6.875</v>
      </c>
      <c r="G13" s="106">
        <f>B13*0.0375+2.25</f>
        <v>4.125</v>
      </c>
    </row>
    <row r="14" spans="1:8" x14ac:dyDescent="0.2">
      <c r="A14" s="110"/>
      <c r="B14" s="105"/>
      <c r="C14" s="2"/>
      <c r="D14" s="2"/>
    </row>
    <row r="15" spans="1:8" x14ac:dyDescent="0.2">
      <c r="A15" s="71"/>
      <c r="B15" s="72"/>
      <c r="C15" s="28"/>
    </row>
    <row r="16" spans="1:8" x14ac:dyDescent="0.2">
      <c r="A16" s="110"/>
      <c r="B16" s="110"/>
    </row>
    <row r="17" spans="1:5" x14ac:dyDescent="0.2">
      <c r="A17" s="110"/>
      <c r="B17" s="110"/>
    </row>
    <row r="18" spans="1:5" ht="18" x14ac:dyDescent="0.25">
      <c r="D18" s="49"/>
    </row>
    <row r="20" spans="1:5" x14ac:dyDescent="0.2">
      <c r="E20" s="25"/>
    </row>
  </sheetData>
  <hyperlinks>
    <hyperlink ref="B13" location="Z01Summary!G6" display="Z01Summary!G6"/>
    <hyperlink ref="E1" location="Home!A5" display="Home"/>
  </hyperlinks>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2</vt:i4>
      </vt:variant>
    </vt:vector>
  </HeadingPairs>
  <TitlesOfParts>
    <vt:vector size="22" baseType="lpstr">
      <vt:lpstr>Home</vt:lpstr>
      <vt:lpstr>Z01 MR Summary</vt:lpstr>
      <vt:lpstr>V-shape Implants</vt:lpstr>
      <vt:lpstr>Molds for V-shape implants</vt:lpstr>
      <vt:lpstr>Numbered Windows</vt:lpstr>
      <vt:lpstr>MR Runcard</vt:lpstr>
      <vt:lpstr>Remounting stage</vt:lpstr>
      <vt:lpstr>Spin graph</vt:lpstr>
      <vt:lpstr>Results mr-DWL-40</vt:lpstr>
      <vt:lpstr>Results mr-DWL-5</vt:lpstr>
      <vt:lpstr>Results Su8 3005</vt:lpstr>
      <vt:lpstr>Results Su8 3010</vt:lpstr>
      <vt:lpstr>Results Su8 3025</vt:lpstr>
      <vt:lpstr>Results Su8 3035</vt:lpstr>
      <vt:lpstr>Results Su8 3050</vt:lpstr>
      <vt:lpstr>Results GM 1040</vt:lpstr>
      <vt:lpstr>Results GM 1050</vt:lpstr>
      <vt:lpstr>Results GM 1060</vt:lpstr>
      <vt:lpstr>Results GM 1070</vt:lpstr>
      <vt:lpstr>Results GM 1075</vt:lpstr>
      <vt:lpstr>Liste_Equipement</vt:lpstr>
      <vt:lpstr>Liste_Equipement2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Racine Georges-André</dc:creator>
  <cp:lastModifiedBy>Murat</cp:lastModifiedBy>
  <cp:lastPrinted>2022-02-23T09:09:19Z</cp:lastPrinted>
  <dcterms:created xsi:type="dcterms:W3CDTF">2012-07-04T12:51:46Z</dcterms:created>
  <dcterms:modified xsi:type="dcterms:W3CDTF">2022-04-11T23:13:38Z</dcterms:modified>
</cp:coreProperties>
</file>